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1"/>
  </bookViews>
  <sheets>
    <sheet name="Parametros" sheetId="1" r:id="rId1"/>
    <sheet name="Planilla" sheetId="2" r:id="rId2"/>
  </sheets>
  <definedNames>
    <definedName name="categorías">'Parametros'!$B$11:$B$13</definedName>
    <definedName name="Sistema_de_Pensiones">'Parametros'!$B$19:$B$23</definedName>
  </definedNames>
  <calcPr fullCalcOnLoad="1"/>
</workbook>
</file>

<file path=xl/comments1.xml><?xml version="1.0" encoding="utf-8"?>
<comments xmlns="http://schemas.openxmlformats.org/spreadsheetml/2006/main">
  <authors>
    <author>Sebastiani</author>
  </authors>
  <commentList>
    <comment ref="D8" authorId="0">
      <text>
        <r>
          <rPr>
            <b/>
            <sz val="8"/>
            <rFont val="Tahoma"/>
            <family val="2"/>
          </rPr>
          <t xml:space="preserve">BONIFICACION UNIFICADA DE CONSTRUCCION 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RD N°777-87-DR-LIM del 10.07.87)
-  Equivalente a seis pasajes urbanos.
</t>
        </r>
      </text>
    </comment>
  </commentList>
</comments>
</file>

<file path=xl/sharedStrings.xml><?xml version="1.0" encoding="utf-8"?>
<sst xmlns="http://schemas.openxmlformats.org/spreadsheetml/2006/main" count="261" uniqueCount="163">
  <si>
    <t>Apellidos y Nombres</t>
  </si>
  <si>
    <t>Categoria</t>
  </si>
  <si>
    <t>DNI</t>
  </si>
  <si>
    <t>Fecha
Nacimiento</t>
  </si>
  <si>
    <t>Fecha
Ingreso</t>
  </si>
  <si>
    <t>Fecha
Cese</t>
  </si>
  <si>
    <t>Sistema
Pensión</t>
  </si>
  <si>
    <t>Nº CUSPP</t>
  </si>
  <si>
    <t>Hr
60%</t>
  </si>
  <si>
    <t>Hr
100%</t>
  </si>
  <si>
    <t>Operario</t>
  </si>
  <si>
    <t>S.N.P.</t>
  </si>
  <si>
    <t>Peón</t>
  </si>
  <si>
    <t>Oficial</t>
  </si>
  <si>
    <t>Prima</t>
  </si>
  <si>
    <t>Profuturo</t>
  </si>
  <si>
    <t>Integra</t>
  </si>
  <si>
    <t>Horizonte</t>
  </si>
  <si>
    <t>Jornal Básico</t>
  </si>
  <si>
    <t>Categoría</t>
  </si>
  <si>
    <t>B.U.C</t>
  </si>
  <si>
    <t>BUC</t>
  </si>
  <si>
    <t>Movilidad Acumulada</t>
  </si>
  <si>
    <t>Dominical</t>
  </si>
  <si>
    <t>Vacac.
10%</t>
  </si>
  <si>
    <t>CTS.
15%</t>
  </si>
  <si>
    <t>Gratific.</t>
  </si>
  <si>
    <t>H.E.
60%</t>
  </si>
  <si>
    <t>H.E.
100%</t>
  </si>
  <si>
    <t>Vacaciones</t>
  </si>
  <si>
    <t>CTS</t>
  </si>
  <si>
    <t>Gratificación</t>
  </si>
  <si>
    <t>Cod.</t>
  </si>
  <si>
    <t>Hra. Extra</t>
  </si>
  <si>
    <t>Total 
Semanal</t>
  </si>
  <si>
    <t>Días Trabajados</t>
  </si>
  <si>
    <t>Total 
Afecto</t>
  </si>
  <si>
    <t>DESCUENTOS AL TRABAJADOR</t>
  </si>
  <si>
    <t>O.N.P.13%</t>
  </si>
  <si>
    <t>Comis.
Afp</t>
  </si>
  <si>
    <t>Prima
Afp</t>
  </si>
  <si>
    <t>Aport
Afp</t>
  </si>
  <si>
    <t>Conaf
2%</t>
  </si>
  <si>
    <t>Adelanto</t>
  </si>
  <si>
    <t>Dsct.
Sindical</t>
  </si>
  <si>
    <t>Comisión</t>
  </si>
  <si>
    <t>Aporte</t>
  </si>
  <si>
    <t>Total %</t>
  </si>
  <si>
    <t>Tope</t>
  </si>
  <si>
    <t>Total 
Descuentos</t>
  </si>
  <si>
    <t>Neto a Pagar</t>
  </si>
  <si>
    <t>SCTR
1.55%</t>
  </si>
  <si>
    <t>Nº ESSALUD</t>
  </si>
  <si>
    <t>Essalud
9%</t>
  </si>
  <si>
    <t>PLANILLA DE JORNALES DE CONSTRUCCION CIVIL - AÑO 2011</t>
  </si>
  <si>
    <t>CONSTRUCTORA EXCEL NEGOCIOS</t>
  </si>
  <si>
    <t>SEMANA:</t>
  </si>
  <si>
    <t>www.excelnegocios.com</t>
  </si>
  <si>
    <t>del 13/03/2011 al 19/03/2011</t>
  </si>
  <si>
    <t>* Los Datos son calculados para una Semana</t>
  </si>
  <si>
    <t>Archivo descargado de:</t>
  </si>
  <si>
    <t>Gustavo A. Sebastiani Cépeda</t>
  </si>
  <si>
    <t>excelparacontadores@hotmail.com</t>
  </si>
  <si>
    <t>OBRA: CONSTRUCCIÓN DE PISTAS Y VEREDAS - TRUJILLO</t>
  </si>
  <si>
    <t>ABASCAL BOADA JOSE IGNACIO</t>
  </si>
  <si>
    <t>ACUÑA KITTO GUILLERMO JAVIER</t>
  </si>
  <si>
    <t>ALASTUEY RODRIGUEZ VICTOR ALEJANDRO</t>
  </si>
  <si>
    <t>ALVAREZ CONTRERAS ALEJANDRO ANDRES</t>
  </si>
  <si>
    <t>ARGOMEDO UGARTE PABLO ENRIQUE</t>
  </si>
  <si>
    <t>ARIAS NATHO ALFREDO</t>
  </si>
  <si>
    <t>ARIZTIA FUENZALIDA PEDRO ANTONIO</t>
  </si>
  <si>
    <t>ARIZTIA LENIZ ANIBAL</t>
  </si>
  <si>
    <t>ARRIAGADA QUINTANA IGNACIO ANTONIO</t>
  </si>
  <si>
    <t>AUGUIN RICHARDS STEPHANE MAURICE</t>
  </si>
  <si>
    <t>BORGOÑO UNDURRAGA PATRICIO JOSE</t>
  </si>
  <si>
    <t>BRAHM SMART LUIS FELIPE</t>
  </si>
  <si>
    <t>BRAVO CABEZAS CLAUDIO ANDRES</t>
  </si>
  <si>
    <t>BRICEÑO GOYCOOLEA ARMANDO MANUEL</t>
  </si>
  <si>
    <t>CAMPAMA DERPSCH SERGIO ANDRES</t>
  </si>
  <si>
    <t>CAMPOS PARADA RODRIGO ANDRES</t>
  </si>
  <si>
    <t>CASADO RAMIREZ ESTEBAN ANDRES</t>
  </si>
  <si>
    <t>CASTRO ROJAS ANDRES MATIAS</t>
  </si>
  <si>
    <t>CASTRO ROJAS STEPHANIE CONSTANZA</t>
  </si>
  <si>
    <t>CEPEDA BERNAL MANUEL ALEJANDRO</t>
  </si>
  <si>
    <t>CHAPARRO PENA SEBASTIAN ARIEL</t>
  </si>
  <si>
    <t>DE LA CERDA CASTRO TEOFILO DOMINGO</t>
  </si>
  <si>
    <t>DUCCI BOETSCH RAIMUNDO</t>
  </si>
  <si>
    <t>ECHEVERRIA GALVEZ ALEJANDRO ANDRES</t>
  </si>
  <si>
    <t>ELICER COOPMAN FRANCISCO FERNANDO</t>
  </si>
  <si>
    <t>EMHART GARCIA CRISTIAN</t>
  </si>
  <si>
    <t>FARAH CHANGKUON HUGO JOSE</t>
  </si>
  <si>
    <t>FERNANDEZ ONTIVEROS ANA EMILSE</t>
  </si>
  <si>
    <t>FERNANDEZ SONNENBERG JAVIER ERNESTO</t>
  </si>
  <si>
    <t>FINDEL DAVILA GERT ERWIN</t>
  </si>
  <si>
    <t>GIGLIO MAYOL JOSE MIGUEL</t>
  </si>
  <si>
    <t>GONZALEZ LARRAIN JOSE ANTONIO</t>
  </si>
  <si>
    <t>GUAJARDO MARCHANT DIEGO IGNACIO</t>
  </si>
  <si>
    <t>GUZMAN BARRIENTOS FRANCISCO JAVIER</t>
  </si>
  <si>
    <t>HERNANDEZ PALMA GUSTAVO</t>
  </si>
  <si>
    <t>HERRERA ERNANI OSCAR FELIPE</t>
  </si>
  <si>
    <t>HONORATO GARRETON LUIS FELIPE</t>
  </si>
  <si>
    <t>IRIBARRA BRADANOVICH SEBASTIAN ENRIQUE</t>
  </si>
  <si>
    <t>IRIGOYEN RUBIO JAVIER IGNACIO</t>
  </si>
  <si>
    <t>JORQUERA TAPIA DIEGO FRANCISCO</t>
  </si>
  <si>
    <t>LARRAIN ECHEVERRIA FRANCISCO ESTEBAN</t>
  </si>
  <si>
    <t>LAVANDERO SOTO MARIO ANDRES</t>
  </si>
  <si>
    <t>LETELIER NAGEL ANDRES IGNACIO</t>
  </si>
  <si>
    <t>LILLO RAZETO IGNACIO ENRIQUE</t>
  </si>
  <si>
    <t>MARTINEZ ALVEAR GUTENBERG PATRICO</t>
  </si>
  <si>
    <t>94400741</t>
  </si>
  <si>
    <t>69034406</t>
  </si>
  <si>
    <t>44118474</t>
  </si>
  <si>
    <t>95845498</t>
  </si>
  <si>
    <t>05012205</t>
  </si>
  <si>
    <t>91711104</t>
  </si>
  <si>
    <t>29748702</t>
  </si>
  <si>
    <t>96515960</t>
  </si>
  <si>
    <t>28520702</t>
  </si>
  <si>
    <t>48492485</t>
  </si>
  <si>
    <t>82929357</t>
  </si>
  <si>
    <t>31772582</t>
  </si>
  <si>
    <t>45515262</t>
  </si>
  <si>
    <t>86284842</t>
  </si>
  <si>
    <t>93961312</t>
  </si>
  <si>
    <t>95356112</t>
  </si>
  <si>
    <t>69552452</t>
  </si>
  <si>
    <t>18608789</t>
  </si>
  <si>
    <t>66534246</t>
  </si>
  <si>
    <t>60403833</t>
  </si>
  <si>
    <t>83439092</t>
  </si>
  <si>
    <t>66931237</t>
  </si>
  <si>
    <t>20089839</t>
  </si>
  <si>
    <t>12402658</t>
  </si>
  <si>
    <t>45582031</t>
  </si>
  <si>
    <t>78672660</t>
  </si>
  <si>
    <t>05300113</t>
  </si>
  <si>
    <t>81199471</t>
  </si>
  <si>
    <t>53006336</t>
  </si>
  <si>
    <t>51961874</t>
  </si>
  <si>
    <t>74518661</t>
  </si>
  <si>
    <t>33439681</t>
  </si>
  <si>
    <t>80377570</t>
  </si>
  <si>
    <t>46674656</t>
  </si>
  <si>
    <t>89633997</t>
  </si>
  <si>
    <t>63101033</t>
  </si>
  <si>
    <t>13897400</t>
  </si>
  <si>
    <t>13592054</t>
  </si>
  <si>
    <t>34074534</t>
  </si>
  <si>
    <t>50560358</t>
  </si>
  <si>
    <t>79862951</t>
  </si>
  <si>
    <t>79187387</t>
  </si>
  <si>
    <t>31609260</t>
  </si>
  <si>
    <t>37581112</t>
  </si>
  <si>
    <t>48276707</t>
  </si>
  <si>
    <t>06525982</t>
  </si>
  <si>
    <t>457551JEMET1</t>
  </si>
  <si>
    <t>468651JNSUV6</t>
  </si>
  <si>
    <t>452551ARCIV8</t>
  </si>
  <si>
    <t>452631ATCLZ5</t>
  </si>
  <si>
    <t>455551LVFRF0</t>
  </si>
  <si>
    <t>54851HCCVM3</t>
  </si>
  <si>
    <t>47511SCORÑ9</t>
  </si>
  <si>
    <t>TOSCADO SUAREZ CRISTIAN</t>
  </si>
</sst>
</file>

<file path=xl/styles.xml><?xml version="1.0" encoding="utf-8"?>
<styleSheet xmlns="http://schemas.openxmlformats.org/spreadsheetml/2006/main">
  <numFmts count="1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 &quot;€&quot;* #,##0_ ;_ &quot;€&quot;* \-#,##0_ ;_ &quot;€&quot;* &quot;-&quot;_ ;_ @_ "/>
    <numFmt numFmtId="166" formatCode="_ &quot;€&quot;* #,##0.00_ ;_ &quot;€&quot;* \-#,##0.00_ ;_ &quot;€&quot;* &quot;-&quot;??_ ;_ @_ "/>
    <numFmt numFmtId="167" formatCode="0.0"/>
    <numFmt numFmtId="168" formatCode="#,##0.0"/>
    <numFmt numFmtId="169" formatCode="#,##0.0000"/>
    <numFmt numFmtId="170" formatCode="_ [$€-2]* #,##0.00_ ;_ [$€-2]* \-#,##0.00_ ;_ [$€-2]* &quot;-&quot;??_ "/>
    <numFmt numFmtId="171" formatCode="_ * #,##0.000_ ;_ * \-#,##0.000_ ;_ * &quot;-&quot;??_ ;_ @_ "/>
    <numFmt numFmtId="172" formatCode="_(* #,##0.00_);_(* \(#,##0.00\);_(* &quot;-&quot;??_);_(@_)"/>
    <numFmt numFmtId="173" formatCode="[$-280A]dddd\,\ dd&quot; de &quot;mmmm&quot; de &quot;yyyy"/>
    <numFmt numFmtId="174" formatCode="[$-280A]h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30"/>
      <name val="Arial Black"/>
      <family val="2"/>
    </font>
    <font>
      <b/>
      <sz val="11"/>
      <color indexed="8"/>
      <name val="Arial Black"/>
      <family val="2"/>
    </font>
    <font>
      <b/>
      <sz val="11"/>
      <color indexed="10"/>
      <name val="Calibri"/>
      <family val="2"/>
    </font>
    <font>
      <b/>
      <sz val="22"/>
      <color indexed="56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0070C0"/>
      <name val="Arial Black"/>
      <family val="2"/>
    </font>
    <font>
      <b/>
      <sz val="11"/>
      <color theme="1"/>
      <name val="Arial Black"/>
      <family val="2"/>
    </font>
    <font>
      <b/>
      <sz val="11"/>
      <color rgb="FFFF0000"/>
      <name val="Calibri"/>
      <family val="2"/>
    </font>
    <font>
      <b/>
      <sz val="22"/>
      <color rgb="FF002060"/>
      <name val="Arial Blac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10" xfId="55" applyFont="1" applyFill="1" applyBorder="1">
      <alignment/>
      <protection/>
    </xf>
    <xf numFmtId="1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9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55" applyFont="1" applyFill="1" applyBorder="1" applyAlignment="1">
      <alignment horizontal="center"/>
      <protection/>
    </xf>
    <xf numFmtId="4" fontId="3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0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9" fontId="36" fillId="34" borderId="11" xfId="0" applyNumberFormat="1" applyFont="1" applyFill="1" applyBorder="1" applyAlignment="1">
      <alignment horizontal="center" vertical="center" wrapText="1"/>
    </xf>
    <xf numFmtId="9" fontId="36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14" fontId="4" fillId="34" borderId="13" xfId="55" applyNumberFormat="1" applyFont="1" applyFill="1" applyBorder="1" applyAlignment="1">
      <alignment horizontal="center" vertical="center" wrapText="1"/>
      <protection/>
    </xf>
    <xf numFmtId="4" fontId="4" fillId="34" borderId="13" xfId="56" applyNumberFormat="1" applyFont="1" applyFill="1" applyBorder="1" applyAlignment="1">
      <alignment horizontal="center" vertical="center" wrapText="1"/>
      <protection/>
    </xf>
    <xf numFmtId="4" fontId="4" fillId="34" borderId="13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0" fontId="40" fillId="0" borderId="0" xfId="46" applyAlignment="1" applyProtection="1">
      <alignment horizontal="left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46" applyFont="1" applyAlignment="1" applyProtection="1">
      <alignment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 quotePrefix="1">
      <alignment horizontal="center" vertical="center"/>
      <protection/>
    </xf>
    <xf numFmtId="14" fontId="3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1" fontId="3" fillId="0" borderId="10" xfId="55" applyNumberFormat="1" applyFont="1" applyFill="1" applyBorder="1" applyAlignment="1">
      <alignment horizontal="center" vertical="center"/>
      <protection/>
    </xf>
    <xf numFmtId="4" fontId="3" fillId="0" borderId="10" xfId="55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14" fontId="6" fillId="0" borderId="10" xfId="55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52" fillId="35" borderId="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36" fillId="34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9" fontId="36" fillId="34" borderId="16" xfId="0" applyNumberFormat="1" applyFont="1" applyFill="1" applyBorder="1" applyAlignment="1">
      <alignment horizontal="center" vertical="center" wrapText="1"/>
    </xf>
    <xf numFmtId="9" fontId="36" fillId="34" borderId="17" xfId="0" applyNumberFormat="1" applyFont="1" applyFill="1" applyBorder="1" applyAlignment="1">
      <alignment horizontal="center" vertical="center" wrapText="1"/>
    </xf>
    <xf numFmtId="9" fontId="36" fillId="34" borderId="11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4" fontId="4" fillId="34" borderId="18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 horizontal="center"/>
    </xf>
    <xf numFmtId="4" fontId="4" fillId="34" borderId="20" xfId="0" applyNumberFormat="1" applyFont="1" applyFill="1" applyBorder="1" applyAlignment="1">
      <alignment horizontal="center"/>
    </xf>
    <xf numFmtId="0" fontId="55" fillId="35" borderId="0" xfId="0" applyFont="1" applyFill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4</xdr:row>
      <xdr:rowOff>142875</xdr:rowOff>
    </xdr:to>
    <xdr:pic>
      <xdr:nvPicPr>
        <xdr:cNvPr id="1" name="3 Imagen" descr="rotulo lar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4</xdr:row>
      <xdr:rowOff>9525</xdr:rowOff>
    </xdr:from>
    <xdr:to>
      <xdr:col>7</xdr:col>
      <xdr:colOff>466725</xdr:colOff>
      <xdr:row>6</xdr:row>
      <xdr:rowOff>180975</xdr:rowOff>
    </xdr:to>
    <xdr:pic>
      <xdr:nvPicPr>
        <xdr:cNvPr id="1" name="3 Imagen" descr="cabecera.1png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1075"/>
          <a:ext cx="3609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hyperlink" Target="mailto:excelparacontadores@hot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23"/>
  <sheetViews>
    <sheetView showGridLines="0" zoomScalePageLayoutView="0" workbookViewId="0" topLeftCell="A1">
      <selection activeCell="C20" sqref="C20"/>
    </sheetView>
  </sheetViews>
  <sheetFormatPr defaultColWidth="11.421875" defaultRowHeight="15"/>
  <cols>
    <col min="1" max="1" width="4.8515625" style="0" customWidth="1"/>
    <col min="2" max="2" width="9.140625" style="0" customWidth="1"/>
    <col min="3" max="3" width="8.8515625" style="0" customWidth="1"/>
    <col min="4" max="4" width="9.00390625" style="0" customWidth="1"/>
    <col min="5" max="5" width="11.140625" style="0" customWidth="1"/>
    <col min="6" max="6" width="9.8515625" style="0" bestFit="1" customWidth="1"/>
    <col min="7" max="7" width="7.140625" style="0" customWidth="1"/>
    <col min="8" max="8" width="4.8515625" style="0" bestFit="1" customWidth="1"/>
    <col min="9" max="9" width="8.8515625" style="0" customWidth="1"/>
    <col min="10" max="11" width="9.57421875" style="0" bestFit="1" customWidth="1"/>
  </cols>
  <sheetData>
    <row r="6" spans="2:11" ht="15">
      <c r="B6" s="50" t="s">
        <v>59</v>
      </c>
      <c r="C6" s="50"/>
      <c r="D6" s="50"/>
      <c r="E6" s="50"/>
      <c r="F6" s="50"/>
      <c r="G6" s="50"/>
      <c r="H6" s="50"/>
      <c r="I6" s="50"/>
      <c r="J6" s="50"/>
      <c r="K6" s="50"/>
    </row>
    <row r="8" spans="2:11" ht="15" customHeight="1">
      <c r="B8" s="43" t="s">
        <v>19</v>
      </c>
      <c r="C8" s="43" t="s">
        <v>18</v>
      </c>
      <c r="D8" s="43" t="s">
        <v>20</v>
      </c>
      <c r="E8" s="43" t="s">
        <v>22</v>
      </c>
      <c r="F8" s="43" t="s">
        <v>23</v>
      </c>
      <c r="G8" s="46" t="s">
        <v>29</v>
      </c>
      <c r="H8" s="46" t="s">
        <v>30</v>
      </c>
      <c r="I8" s="46" t="s">
        <v>31</v>
      </c>
      <c r="J8" s="49" t="s">
        <v>33</v>
      </c>
      <c r="K8" s="49" t="s">
        <v>33</v>
      </c>
    </row>
    <row r="9" spans="2:11" ht="15" customHeight="1">
      <c r="B9" s="44"/>
      <c r="C9" s="44"/>
      <c r="D9" s="44"/>
      <c r="E9" s="44"/>
      <c r="F9" s="44"/>
      <c r="G9" s="47"/>
      <c r="H9" s="47"/>
      <c r="I9" s="47"/>
      <c r="J9" s="49"/>
      <c r="K9" s="49"/>
    </row>
    <row r="10" spans="2:11" ht="15">
      <c r="B10" s="45"/>
      <c r="C10" s="45"/>
      <c r="D10" s="45"/>
      <c r="E10" s="45"/>
      <c r="F10" s="45"/>
      <c r="G10" s="14">
        <v>0.1</v>
      </c>
      <c r="H10" s="14">
        <v>0.15</v>
      </c>
      <c r="I10" s="48"/>
      <c r="J10" s="15">
        <v>0.6</v>
      </c>
      <c r="K10" s="15">
        <v>1</v>
      </c>
    </row>
    <row r="11" spans="2:11" ht="15">
      <c r="B11" s="2" t="s">
        <v>10</v>
      </c>
      <c r="C11" s="3">
        <v>42.8</v>
      </c>
      <c r="D11" s="5">
        <v>0.32</v>
      </c>
      <c r="E11" s="6">
        <v>0</v>
      </c>
      <c r="F11" s="6">
        <f>ROUND(C11/6,2)</f>
        <v>7.13</v>
      </c>
      <c r="G11" s="6">
        <f>ROUND(C11*$G$10,2)</f>
        <v>4.28</v>
      </c>
      <c r="H11" s="6">
        <f>ROUND(C11*$H$10,2)</f>
        <v>6.42</v>
      </c>
      <c r="I11" s="6">
        <f>ROUND(((40*C11)/7)/30,2)</f>
        <v>8.15</v>
      </c>
      <c r="J11" s="6">
        <f>(C11/8)*(1+$J$10)</f>
        <v>8.56</v>
      </c>
      <c r="K11" s="6">
        <f>(C11/8)*(1+$K$10)</f>
        <v>10.7</v>
      </c>
    </row>
    <row r="12" spans="2:13" ht="15">
      <c r="B12" s="2" t="s">
        <v>13</v>
      </c>
      <c r="C12" s="3">
        <v>37.5</v>
      </c>
      <c r="D12" s="5">
        <v>0.3</v>
      </c>
      <c r="E12" s="6">
        <v>0</v>
      </c>
      <c r="F12" s="6">
        <f>ROUND(C12/6,2)</f>
        <v>6.25</v>
      </c>
      <c r="G12" s="6">
        <f>ROUND(C12*$G$10,2)</f>
        <v>3.75</v>
      </c>
      <c r="H12" s="6">
        <f>ROUND(C12*$H$10,2)</f>
        <v>5.63</v>
      </c>
      <c r="I12" s="6">
        <f>ROUND(((40*C12)/7)/30,2)</f>
        <v>7.14</v>
      </c>
      <c r="J12" s="6">
        <f>(C12/8)*(1+$J$10)</f>
        <v>7.5</v>
      </c>
      <c r="K12" s="6">
        <f>(C12/8)*(1+$K$10)</f>
        <v>9.375</v>
      </c>
      <c r="L12" s="28"/>
      <c r="M12" s="28" t="s">
        <v>60</v>
      </c>
    </row>
    <row r="13" spans="2:13" ht="15">
      <c r="B13" s="2" t="s">
        <v>12</v>
      </c>
      <c r="C13" s="3">
        <v>33.6</v>
      </c>
      <c r="D13" s="5">
        <v>0.3</v>
      </c>
      <c r="E13" s="6">
        <v>0</v>
      </c>
      <c r="F13" s="6">
        <f>ROUND(C13/6,2)</f>
        <v>5.6</v>
      </c>
      <c r="G13" s="6">
        <f>ROUND(C13*$G$10,2)</f>
        <v>3.36</v>
      </c>
      <c r="H13" s="6">
        <f>ROUND(C13*$H$10,2)</f>
        <v>5.04</v>
      </c>
      <c r="I13" s="6">
        <f>ROUND(((40*C13)/7)/30,2)</f>
        <v>6.4</v>
      </c>
      <c r="J13" s="6">
        <f>(C13/8)*(1+$J$10)</f>
        <v>6.720000000000001</v>
      </c>
      <c r="K13" s="6">
        <f>(C13/8)*(1+$K$10)</f>
        <v>8.4</v>
      </c>
      <c r="L13" s="28"/>
      <c r="M13" s="30" t="s">
        <v>57</v>
      </c>
    </row>
    <row r="14" spans="12:13" ht="15">
      <c r="L14" s="28"/>
      <c r="M14" s="28" t="s">
        <v>61</v>
      </c>
    </row>
    <row r="15" spans="3:13" ht="15">
      <c r="C15" s="9"/>
      <c r="E15" s="9"/>
      <c r="G15" s="9"/>
      <c r="I15" s="9"/>
      <c r="K15" s="9"/>
      <c r="L15" s="28"/>
      <c r="M15" s="30" t="s">
        <v>62</v>
      </c>
    </row>
    <row r="18" spans="2:7" ht="15">
      <c r="B18" s="10"/>
      <c r="C18" s="16" t="s">
        <v>45</v>
      </c>
      <c r="D18" s="16" t="s">
        <v>14</v>
      </c>
      <c r="E18" s="16" t="s">
        <v>46</v>
      </c>
      <c r="F18" s="16" t="s">
        <v>47</v>
      </c>
      <c r="G18" s="16" t="s">
        <v>48</v>
      </c>
    </row>
    <row r="19" spans="2:7" ht="15">
      <c r="B19" s="17" t="s">
        <v>11</v>
      </c>
      <c r="C19" s="11"/>
      <c r="D19" s="11"/>
      <c r="E19" s="11"/>
      <c r="F19" s="12">
        <v>0.13</v>
      </c>
      <c r="G19" s="11"/>
    </row>
    <row r="20" spans="2:7" ht="15">
      <c r="B20" s="17" t="s">
        <v>17</v>
      </c>
      <c r="C20" s="12">
        <v>0.0195</v>
      </c>
      <c r="D20" s="12">
        <v>0.0111</v>
      </c>
      <c r="E20" s="12">
        <v>0.1</v>
      </c>
      <c r="F20" s="12">
        <f>SUM(C20:E20)</f>
        <v>0.1306</v>
      </c>
      <c r="G20" s="13">
        <v>7323.06</v>
      </c>
    </row>
    <row r="21" spans="2:7" ht="15">
      <c r="B21" s="17" t="s">
        <v>16</v>
      </c>
      <c r="C21" s="12">
        <v>0.018</v>
      </c>
      <c r="D21" s="12">
        <v>0.0103</v>
      </c>
      <c r="E21" s="12">
        <v>0.1</v>
      </c>
      <c r="F21" s="12">
        <f>SUM(C21:E21)</f>
        <v>0.1283</v>
      </c>
      <c r="G21" s="13">
        <v>7323.06</v>
      </c>
    </row>
    <row r="22" spans="2:7" ht="15">
      <c r="B22" s="17" t="s">
        <v>14</v>
      </c>
      <c r="C22" s="12">
        <v>0.0175</v>
      </c>
      <c r="D22" s="12">
        <v>0.0106</v>
      </c>
      <c r="E22" s="12">
        <v>0.1</v>
      </c>
      <c r="F22" s="12">
        <f>SUM(C22:E22)</f>
        <v>0.1281</v>
      </c>
      <c r="G22" s="13">
        <v>7323.06</v>
      </c>
    </row>
    <row r="23" spans="2:7" ht="15">
      <c r="B23" s="17" t="s">
        <v>15</v>
      </c>
      <c r="C23" s="12">
        <v>0.023</v>
      </c>
      <c r="D23" s="12">
        <v>0.0126</v>
      </c>
      <c r="E23" s="12">
        <v>0.1</v>
      </c>
      <c r="F23" s="12">
        <f>SUM(C23:E23)</f>
        <v>0.1356</v>
      </c>
      <c r="G23" s="13">
        <v>7323.06</v>
      </c>
    </row>
  </sheetData>
  <sheetProtection/>
  <mergeCells count="11">
    <mergeCell ref="B6:K6"/>
    <mergeCell ref="C8:C10"/>
    <mergeCell ref="B8:B10"/>
    <mergeCell ref="D8:D10"/>
    <mergeCell ref="E8:E10"/>
    <mergeCell ref="F8:F10"/>
    <mergeCell ref="H8:H9"/>
    <mergeCell ref="G8:G9"/>
    <mergeCell ref="I8:I10"/>
    <mergeCell ref="J8:J9"/>
    <mergeCell ref="K8:K9"/>
  </mergeCells>
  <hyperlinks>
    <hyperlink ref="M13" r:id="rId1" display="www.excelnegocios.com"/>
    <hyperlink ref="M15" r:id="rId2" display="excelparacontadores@hotmail.com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showGridLines="0" tabSelected="1" zoomScalePageLayoutView="0" workbookViewId="0" topLeftCell="A8">
      <pane xSplit="2" topLeftCell="C1" activePane="topRight" state="frozen"/>
      <selection pane="topLeft" activeCell="A1" sqref="A1"/>
      <selection pane="topRight" activeCell="B13" sqref="B13"/>
    </sheetView>
  </sheetViews>
  <sheetFormatPr defaultColWidth="11.421875" defaultRowHeight="15"/>
  <cols>
    <col min="1" max="1" width="4.57421875" style="4" bestFit="1" customWidth="1"/>
    <col min="2" max="2" width="40.8515625" style="0" bestFit="1" customWidth="1"/>
    <col min="3" max="3" width="8.28125" style="0" bestFit="1" customWidth="1"/>
    <col min="8" max="8" width="8.140625" style="0" bestFit="1" customWidth="1"/>
    <col min="9" max="9" width="12.8515625" style="0" bestFit="1" customWidth="1"/>
    <col min="10" max="10" width="9.140625" style="0" customWidth="1"/>
    <col min="11" max="11" width="4.00390625" style="0" bestFit="1" customWidth="1"/>
    <col min="12" max="12" width="4.8515625" style="0" bestFit="1" customWidth="1"/>
    <col min="13" max="13" width="8.7109375" style="0" customWidth="1"/>
    <col min="14" max="14" width="7.140625" style="0" customWidth="1"/>
    <col min="15" max="15" width="9.7109375" style="0" bestFit="1" customWidth="1"/>
    <col min="16" max="16" width="8.57421875" style="0" bestFit="1" customWidth="1"/>
    <col min="17" max="17" width="7.00390625" style="0" bestFit="1" customWidth="1"/>
    <col min="18" max="18" width="6.57421875" style="0" bestFit="1" customWidth="1"/>
    <col min="19" max="19" width="9.7109375" style="0" bestFit="1" customWidth="1"/>
    <col min="20" max="20" width="8.00390625" style="0" bestFit="1" customWidth="1"/>
    <col min="21" max="21" width="6.7109375" style="0" customWidth="1"/>
    <col min="22" max="22" width="9.28125" style="0" customWidth="1"/>
    <col min="23" max="23" width="9.8515625" style="0" customWidth="1"/>
    <col min="24" max="24" width="8.7109375" style="0" bestFit="1" customWidth="1"/>
    <col min="25" max="25" width="6.140625" style="0" bestFit="1" customWidth="1"/>
    <col min="26" max="26" width="5.8515625" style="0" bestFit="1" customWidth="1"/>
    <col min="27" max="27" width="7.00390625" style="0" bestFit="1" customWidth="1"/>
    <col min="28" max="28" width="6.7109375" style="0" customWidth="1"/>
    <col min="29" max="29" width="7.7109375" style="0" bestFit="1" customWidth="1"/>
    <col min="30" max="30" width="7.140625" style="0" bestFit="1" customWidth="1"/>
    <col min="31" max="31" width="10.00390625" style="0" bestFit="1" customWidth="1"/>
    <col min="32" max="32" width="10.57421875" style="0" bestFit="1" customWidth="1"/>
    <col min="33" max="33" width="7.7109375" style="0" bestFit="1" customWidth="1"/>
    <col min="34" max="34" width="6.140625" style="0" customWidth="1"/>
    <col min="35" max="35" width="10.7109375" style="0" bestFit="1" customWidth="1"/>
  </cols>
  <sheetData>
    <row r="1" spans="1:6" ht="15" customHeight="1">
      <c r="A1" s="54" t="s">
        <v>55</v>
      </c>
      <c r="B1" s="54"/>
      <c r="C1" s="54"/>
      <c r="D1" s="54"/>
      <c r="E1" s="54"/>
      <c r="F1" s="54"/>
    </row>
    <row r="2" spans="1:6" ht="27" customHeight="1">
      <c r="A2" s="54"/>
      <c r="B2" s="54"/>
      <c r="C2" s="54"/>
      <c r="D2" s="54"/>
      <c r="E2" s="54"/>
      <c r="F2" s="54"/>
    </row>
    <row r="3" ht="15.75">
      <c r="A3" s="40" t="s">
        <v>63</v>
      </c>
    </row>
    <row r="4" ht="18.75">
      <c r="A4" s="41" t="s">
        <v>54</v>
      </c>
    </row>
    <row r="5" ht="15"/>
    <row r="6" ht="18.75">
      <c r="A6" s="42" t="s">
        <v>56</v>
      </c>
    </row>
    <row r="7" spans="2:5" ht="15">
      <c r="B7" s="29" t="s">
        <v>58</v>
      </c>
      <c r="E7" s="27" t="s">
        <v>57</v>
      </c>
    </row>
    <row r="8" spans="24:30" ht="15">
      <c r="X8" s="51" t="s">
        <v>37</v>
      </c>
      <c r="Y8" s="52"/>
      <c r="Z8" s="52"/>
      <c r="AA8" s="52"/>
      <c r="AB8" s="52"/>
      <c r="AC8" s="52"/>
      <c r="AD8" s="53"/>
    </row>
    <row r="9" spans="1:35" ht="38.25">
      <c r="A9" s="18" t="s">
        <v>32</v>
      </c>
      <c r="B9" s="19" t="s">
        <v>0</v>
      </c>
      <c r="C9" s="19" t="s">
        <v>1</v>
      </c>
      <c r="D9" s="19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35</v>
      </c>
      <c r="K9" s="21" t="s">
        <v>8</v>
      </c>
      <c r="L9" s="21" t="s">
        <v>9</v>
      </c>
      <c r="M9" s="22" t="s">
        <v>18</v>
      </c>
      <c r="N9" s="23" t="s">
        <v>21</v>
      </c>
      <c r="O9" s="22" t="s">
        <v>22</v>
      </c>
      <c r="P9" s="23" t="s">
        <v>23</v>
      </c>
      <c r="Q9" s="24" t="s">
        <v>24</v>
      </c>
      <c r="R9" s="24" t="s">
        <v>25</v>
      </c>
      <c r="S9" s="23" t="s">
        <v>26</v>
      </c>
      <c r="T9" s="24" t="s">
        <v>27</v>
      </c>
      <c r="U9" s="24" t="s">
        <v>28</v>
      </c>
      <c r="V9" s="24" t="s">
        <v>34</v>
      </c>
      <c r="W9" s="24" t="s">
        <v>36</v>
      </c>
      <c r="X9" s="26" t="s">
        <v>38</v>
      </c>
      <c r="Y9" s="26" t="s">
        <v>39</v>
      </c>
      <c r="Z9" s="26" t="s">
        <v>40</v>
      </c>
      <c r="AA9" s="26" t="s">
        <v>41</v>
      </c>
      <c r="AB9" s="26" t="s">
        <v>42</v>
      </c>
      <c r="AC9" s="26" t="s">
        <v>43</v>
      </c>
      <c r="AD9" s="26" t="s">
        <v>44</v>
      </c>
      <c r="AE9" s="24" t="s">
        <v>49</v>
      </c>
      <c r="AF9" s="24" t="s">
        <v>50</v>
      </c>
      <c r="AG9" s="24" t="s">
        <v>53</v>
      </c>
      <c r="AH9" s="24" t="s">
        <v>51</v>
      </c>
      <c r="AI9" s="25" t="s">
        <v>52</v>
      </c>
    </row>
    <row r="10" spans="1:35" s="7" customFormat="1" ht="15">
      <c r="A10" s="8">
        <v>1</v>
      </c>
      <c r="B10" s="1" t="s">
        <v>64</v>
      </c>
      <c r="C10" s="31" t="s">
        <v>10</v>
      </c>
      <c r="D10" s="32" t="s">
        <v>109</v>
      </c>
      <c r="E10" s="33">
        <v>26273</v>
      </c>
      <c r="F10" s="33">
        <v>40611</v>
      </c>
      <c r="G10" s="33">
        <v>40621</v>
      </c>
      <c r="H10" s="34" t="s">
        <v>11</v>
      </c>
      <c r="I10" s="33"/>
      <c r="J10" s="35">
        <v>4</v>
      </c>
      <c r="K10" s="35"/>
      <c r="L10" s="35"/>
      <c r="M10" s="36">
        <f>IF(C10="","",VLOOKUP(C10,Parametros!$B$11:$C$13,2,0)*J10)</f>
        <v>171.2</v>
      </c>
      <c r="N10" s="37">
        <f>IF(C10="","",VLOOKUP(C10,Parametros!$B$11:$D$13,3,0)*J10*VLOOKUP(C10,Parametros!$B$11:$C$13,2,0))</f>
        <v>54.784</v>
      </c>
      <c r="O10" s="38">
        <f>IF(C10="","",VLOOKUP(C10,Parametros!$B$11:$E$13,4,0)*J10)</f>
        <v>0</v>
      </c>
      <c r="P10" s="38">
        <f>+IF(C10="","",VLOOKUP(C10,Parametros!$B$11:$F$13,5,0)*J10)</f>
        <v>28.52</v>
      </c>
      <c r="Q10" s="38">
        <f>+IF(C10="","",VLOOKUP(C10,Parametros!$B$11:$G$13,6,0)*J10)</f>
        <v>17.12</v>
      </c>
      <c r="R10" s="37">
        <f>+IF(C10="","",VLOOKUP(C10,Parametros!$B$11:$H$13,7,0)*J10)</f>
        <v>25.68</v>
      </c>
      <c r="S10" s="38">
        <f>IF(J10&lt;6,VLOOKUP(C10,Parametros!$B$11:$I$13,8,0)*Planilla!J10,VLOOKUP(C10,Parametros!$B$11:$I$13,8,0)*J10+VLOOKUP(C10,Parametros!$B$11:$I$13,8,0))</f>
        <v>32.6</v>
      </c>
      <c r="T10" s="38">
        <f>K10*VLOOKUP(C10,Parametros!$B$11:$K$13,9,0)</f>
        <v>0</v>
      </c>
      <c r="U10" s="38">
        <f>L10*VLOOKUP(C10,Parametros!$B$11:$L$13,10,0)</f>
        <v>0</v>
      </c>
      <c r="V10" s="38">
        <f>+SUM(M10:U10)</f>
        <v>329.904</v>
      </c>
      <c r="W10" s="38">
        <f>+M10+N10+P10+Q10+T10++U10</f>
        <v>271.62399999999997</v>
      </c>
      <c r="X10" s="38">
        <f>IF(H10="S.N.P.",W10*Parametros!$F$19,0)</f>
        <v>35.311119999999995</v>
      </c>
      <c r="Y10" s="38">
        <f>VLOOKUP(H10,Parametros!$B$19:$G$23,2,0)*W10</f>
        <v>0</v>
      </c>
      <c r="Z10" s="38">
        <f>VLOOKUP(H10,Parametros!$B$19:$G$23,3,0)*W10</f>
        <v>0</v>
      </c>
      <c r="AA10" s="38">
        <f>VLOOKUP(H10,Parametros!$B$19:$G$23,4,0)*W10</f>
        <v>0</v>
      </c>
      <c r="AB10" s="38">
        <f>ROUND((M10+P10)*2%,2)</f>
        <v>3.99</v>
      </c>
      <c r="AC10" s="38">
        <v>0</v>
      </c>
      <c r="AD10" s="38">
        <v>0</v>
      </c>
      <c r="AE10" s="38">
        <f>+SUM(X10:AD10)</f>
        <v>39.30112</v>
      </c>
      <c r="AF10" s="38">
        <f>+V10-AE10</f>
        <v>290.60288</v>
      </c>
      <c r="AG10" s="37">
        <f>ROUND(W10*9%,2)</f>
        <v>24.45</v>
      </c>
      <c r="AH10" s="38">
        <f>ROUND(1.55%*W10,2)</f>
        <v>4.21</v>
      </c>
      <c r="AI10" s="37"/>
    </row>
    <row r="11" spans="1:35" s="7" customFormat="1" ht="15">
      <c r="A11" s="8">
        <v>2</v>
      </c>
      <c r="B11" s="1" t="s">
        <v>65</v>
      </c>
      <c r="C11" s="31" t="s">
        <v>12</v>
      </c>
      <c r="D11" s="32" t="s">
        <v>110</v>
      </c>
      <c r="E11" s="33">
        <v>31236</v>
      </c>
      <c r="F11" s="33">
        <v>40568</v>
      </c>
      <c r="G11" s="33">
        <v>40621</v>
      </c>
      <c r="H11" s="33" t="s">
        <v>11</v>
      </c>
      <c r="I11" s="33"/>
      <c r="J11" s="35">
        <v>3</v>
      </c>
      <c r="K11" s="35"/>
      <c r="L11" s="35"/>
      <c r="M11" s="36">
        <f>IF(C11="","",VLOOKUP(C11,Parametros!$B$11:$C$13,2,0)*J11)</f>
        <v>100.80000000000001</v>
      </c>
      <c r="N11" s="37">
        <f>IF(C11="","",VLOOKUP(C11,Parametros!$B$11:$D$13,3,0)*J11*VLOOKUP(C11,Parametros!$B$11:$C$13,2,0))</f>
        <v>30.24</v>
      </c>
      <c r="O11" s="38">
        <f>+VLOOKUP(C11,Parametros!$B$11:$E$13,4,0)*J11</f>
        <v>0</v>
      </c>
      <c r="P11" s="38">
        <f>+IF(C11="","",VLOOKUP(C11,Parametros!$B$11:$F$13,5,0)*J11)</f>
        <v>16.799999999999997</v>
      </c>
      <c r="Q11" s="38">
        <f>+IF(C11="","",VLOOKUP(C11,Parametros!$B$11:$G$13,6,0)*J11)</f>
        <v>10.08</v>
      </c>
      <c r="R11" s="37">
        <f>+IF(C11="","",VLOOKUP(C11,Parametros!$B$11:$H$13,7,0)*J11)</f>
        <v>15.120000000000001</v>
      </c>
      <c r="S11" s="38">
        <f>IF(J11&lt;6,VLOOKUP(C11,Parametros!$B$11:$I$13,8,0)*Planilla!J11,VLOOKUP(C11,Parametros!$B$11:$I$13,8,0)*J11+VLOOKUP(C11,Parametros!$B$11:$I$13,8,0))</f>
        <v>19.200000000000003</v>
      </c>
      <c r="T11" s="38">
        <f>K11*VLOOKUP(C11,Parametros!$B$11:$K$13,9,0)</f>
        <v>0</v>
      </c>
      <c r="U11" s="38">
        <f>L11*VLOOKUP(C11,Parametros!$B$11:$L$13,10,0)</f>
        <v>0</v>
      </c>
      <c r="V11" s="38">
        <f>+SUM(M11:U11)</f>
        <v>192.24000000000007</v>
      </c>
      <c r="W11" s="38">
        <f aca="true" t="shared" si="0" ref="W11:W55">+M11+N11+P11+Q11+T11++U11</f>
        <v>157.92000000000004</v>
      </c>
      <c r="X11" s="38">
        <f>IF(H11="S.N.P.",W11*Parametros!$F$19,0)</f>
        <v>20.529600000000006</v>
      </c>
      <c r="Y11" s="38">
        <f>VLOOKUP(H11,Parametros!$B$19:$G$23,2,0)*W11</f>
        <v>0</v>
      </c>
      <c r="Z11" s="38">
        <f>VLOOKUP(H11,Parametros!$B$19:$G$23,3,0)*W11</f>
        <v>0</v>
      </c>
      <c r="AA11" s="38">
        <f>VLOOKUP(H11,Parametros!$B$19:$G$23,4,0)*W11</f>
        <v>0</v>
      </c>
      <c r="AB11" s="38">
        <f aca="true" t="shared" si="1" ref="AB11:AB55">ROUND((M11+P11)*2%,2)</f>
        <v>2.35</v>
      </c>
      <c r="AC11" s="38">
        <v>0</v>
      </c>
      <c r="AD11" s="38">
        <v>0</v>
      </c>
      <c r="AE11" s="38">
        <f aca="true" t="shared" si="2" ref="AE11:AE55">+SUM(X11:AD11)</f>
        <v>22.879600000000007</v>
      </c>
      <c r="AF11" s="38">
        <f aca="true" t="shared" si="3" ref="AF11:AF55">+V11-AE11</f>
        <v>169.36040000000006</v>
      </c>
      <c r="AG11" s="37">
        <f aca="true" t="shared" si="4" ref="AG11:AG55">ROUND(W11*9%,2)</f>
        <v>14.21</v>
      </c>
      <c r="AH11" s="38">
        <f aca="true" t="shared" si="5" ref="AH11:AH55">ROUND(1.55%*W11,2)</f>
        <v>2.45</v>
      </c>
      <c r="AI11" s="37"/>
    </row>
    <row r="12" spans="1:35" s="7" customFormat="1" ht="15">
      <c r="A12" s="8">
        <v>3</v>
      </c>
      <c r="B12" s="1" t="s">
        <v>162</v>
      </c>
      <c r="C12" s="31" t="s">
        <v>12</v>
      </c>
      <c r="D12" s="32" t="s">
        <v>111</v>
      </c>
      <c r="E12" s="33">
        <v>31236</v>
      </c>
      <c r="F12" s="33">
        <v>40598</v>
      </c>
      <c r="G12" s="33">
        <v>40621</v>
      </c>
      <c r="H12" s="33" t="s">
        <v>11</v>
      </c>
      <c r="I12" s="33"/>
      <c r="J12" s="35">
        <v>3</v>
      </c>
      <c r="K12" s="35"/>
      <c r="L12" s="35"/>
      <c r="M12" s="36">
        <f>IF(C12="","",VLOOKUP(C12,Parametros!$B$11:$C$13,2,0)*J12)</f>
        <v>100.80000000000001</v>
      </c>
      <c r="N12" s="37">
        <f>IF(C12="","",VLOOKUP(C12,Parametros!$B$11:$D$13,3,0)*J12*VLOOKUP(C12,Parametros!$B$11:$C$13,2,0))</f>
        <v>30.24</v>
      </c>
      <c r="O12" s="38">
        <f>+VLOOKUP(C12,Parametros!$B$11:$E$13,4,0)*J12</f>
        <v>0</v>
      </c>
      <c r="P12" s="38">
        <f>+IF(C12="","",VLOOKUP(C12,Parametros!$B$11:$F$13,5,0)*J12)</f>
        <v>16.799999999999997</v>
      </c>
      <c r="Q12" s="38">
        <f>+IF(C12="","",VLOOKUP(C12,Parametros!$B$11:$G$13,6,0)*J12)</f>
        <v>10.08</v>
      </c>
      <c r="R12" s="37">
        <f>+IF(C12="","",VLOOKUP(C12,Parametros!$B$11:$H$13,7,0)*J12)</f>
        <v>15.120000000000001</v>
      </c>
      <c r="S12" s="38">
        <f>IF(J12&lt;6,VLOOKUP(C12,Parametros!$B$11:$I$13,8,0)*Planilla!J12,VLOOKUP(C12,Parametros!$B$11:$I$13,8,0)*J12+VLOOKUP(C12,Parametros!$B$11:$I$13,8,0))</f>
        <v>19.200000000000003</v>
      </c>
      <c r="T12" s="38">
        <f>K12*VLOOKUP(C12,Parametros!$B$11:$K$13,9,0)</f>
        <v>0</v>
      </c>
      <c r="U12" s="38">
        <f>L12*VLOOKUP(C12,Parametros!$B$11:$L$13,10,0)</f>
        <v>0</v>
      </c>
      <c r="V12" s="38">
        <f aca="true" t="shared" si="6" ref="V12:V55">+SUM(M12:U12)</f>
        <v>192.24000000000007</v>
      </c>
      <c r="W12" s="38">
        <f t="shared" si="0"/>
        <v>157.92000000000004</v>
      </c>
      <c r="X12" s="38">
        <f>IF(H12="S.N.P.",W12*Parametros!$F$19,0)</f>
        <v>20.529600000000006</v>
      </c>
      <c r="Y12" s="38">
        <f>VLOOKUP(H12,Parametros!$B$19:$G$23,2,0)*W12</f>
        <v>0</v>
      </c>
      <c r="Z12" s="38">
        <f>VLOOKUP(H12,Parametros!$B$19:$G$23,3,0)*W12</f>
        <v>0</v>
      </c>
      <c r="AA12" s="38">
        <f>VLOOKUP(H12,Parametros!$B$19:$G$23,4,0)*W12</f>
        <v>0</v>
      </c>
      <c r="AB12" s="38">
        <f t="shared" si="1"/>
        <v>2.35</v>
      </c>
      <c r="AC12" s="38">
        <v>0</v>
      </c>
      <c r="AD12" s="38">
        <v>0</v>
      </c>
      <c r="AE12" s="38">
        <f t="shared" si="2"/>
        <v>22.879600000000007</v>
      </c>
      <c r="AF12" s="38">
        <f t="shared" si="3"/>
        <v>169.36040000000006</v>
      </c>
      <c r="AG12" s="37">
        <f t="shared" si="4"/>
        <v>14.21</v>
      </c>
      <c r="AH12" s="38">
        <f t="shared" si="5"/>
        <v>2.45</v>
      </c>
      <c r="AI12" s="37"/>
    </row>
    <row r="13" spans="1:35" s="7" customFormat="1" ht="15">
      <c r="A13" s="8">
        <v>4</v>
      </c>
      <c r="B13" s="1" t="s">
        <v>66</v>
      </c>
      <c r="C13" s="31" t="s">
        <v>13</v>
      </c>
      <c r="D13" s="32" t="s">
        <v>112</v>
      </c>
      <c r="E13" s="33">
        <v>21363</v>
      </c>
      <c r="F13" s="33">
        <v>40568</v>
      </c>
      <c r="G13" s="33">
        <v>40621</v>
      </c>
      <c r="H13" s="33" t="s">
        <v>11</v>
      </c>
      <c r="I13" s="33"/>
      <c r="J13" s="35">
        <v>4</v>
      </c>
      <c r="K13" s="35">
        <v>4</v>
      </c>
      <c r="L13" s="35"/>
      <c r="M13" s="36">
        <f>IF(C13="","",VLOOKUP(C13,Parametros!$B$11:$C$13,2,0)*J13)</f>
        <v>150</v>
      </c>
      <c r="N13" s="37">
        <f>IF(C13="","",VLOOKUP(C13,Parametros!$B$11:$D$13,3,0)*J13*VLOOKUP(C13,Parametros!$B$11:$C$13,2,0))</f>
        <v>45</v>
      </c>
      <c r="O13" s="38">
        <f>+VLOOKUP(C13,Parametros!$B$11:$E$13,4,0)*J13</f>
        <v>0</v>
      </c>
      <c r="P13" s="38">
        <f>+IF(C13="","",VLOOKUP(C13,Parametros!$B$11:$F$13,5,0)*J13)</f>
        <v>25</v>
      </c>
      <c r="Q13" s="38">
        <f>+IF(C13="","",VLOOKUP(C13,Parametros!$B$11:$G$13,6,0)*J13)</f>
        <v>15</v>
      </c>
      <c r="R13" s="37">
        <f>+IF(C13="","",VLOOKUP(C13,Parametros!$B$11:$H$13,7,0)*J13)</f>
        <v>22.52</v>
      </c>
      <c r="S13" s="38">
        <f>IF(J13&lt;6,VLOOKUP(C13,Parametros!$B$11:$I$13,8,0)*Planilla!J13,VLOOKUP(C13,Parametros!$B$11:$I$13,8,0)*J13+VLOOKUP(C13,Parametros!$B$11:$I$13,8,0))</f>
        <v>28.56</v>
      </c>
      <c r="T13" s="38">
        <f>K13*VLOOKUP(C13,Parametros!$B$11:$K$13,9,0)</f>
        <v>30</v>
      </c>
      <c r="U13" s="38">
        <f>L13*VLOOKUP(C13,Parametros!$B$11:$L$13,10,0)</f>
        <v>0</v>
      </c>
      <c r="V13" s="38">
        <f t="shared" si="6"/>
        <v>316.08</v>
      </c>
      <c r="W13" s="38">
        <f t="shared" si="0"/>
        <v>265</v>
      </c>
      <c r="X13" s="38">
        <f>IF(H13="S.N.P.",W13*Parametros!$F$19,0)</f>
        <v>34.45</v>
      </c>
      <c r="Y13" s="38">
        <f>VLOOKUP(H13,Parametros!$B$19:$G$23,2,0)*W13</f>
        <v>0</v>
      </c>
      <c r="Z13" s="38">
        <f>VLOOKUP(H13,Parametros!$B$19:$G$23,3,0)*W13</f>
        <v>0</v>
      </c>
      <c r="AA13" s="38">
        <f>VLOOKUP(H13,Parametros!$B$19:$G$23,4,0)*W13</f>
        <v>0</v>
      </c>
      <c r="AB13" s="38">
        <f t="shared" si="1"/>
        <v>3.5</v>
      </c>
      <c r="AC13" s="38">
        <v>0</v>
      </c>
      <c r="AD13" s="38">
        <v>0</v>
      </c>
      <c r="AE13" s="38">
        <f t="shared" si="2"/>
        <v>37.95</v>
      </c>
      <c r="AF13" s="38">
        <f t="shared" si="3"/>
        <v>278.13</v>
      </c>
      <c r="AG13" s="37">
        <f t="shared" si="4"/>
        <v>23.85</v>
      </c>
      <c r="AH13" s="38">
        <f t="shared" si="5"/>
        <v>4.11</v>
      </c>
      <c r="AI13" s="37"/>
    </row>
    <row r="14" spans="1:35" s="7" customFormat="1" ht="15">
      <c r="A14" s="8">
        <v>5</v>
      </c>
      <c r="B14" s="1" t="s">
        <v>67</v>
      </c>
      <c r="C14" s="31" t="s">
        <v>12</v>
      </c>
      <c r="D14" s="32" t="s">
        <v>113</v>
      </c>
      <c r="E14" s="33">
        <v>32630</v>
      </c>
      <c r="F14" s="33">
        <v>40568</v>
      </c>
      <c r="G14" s="33">
        <v>40621</v>
      </c>
      <c r="H14" s="33" t="s">
        <v>14</v>
      </c>
      <c r="I14" s="33" t="s">
        <v>160</v>
      </c>
      <c r="J14" s="35">
        <v>5</v>
      </c>
      <c r="K14" s="35"/>
      <c r="L14" s="35"/>
      <c r="M14" s="36">
        <f>IF(C14="","",VLOOKUP(C14,Parametros!$B$11:$C$13,2,0)*J14)</f>
        <v>168</v>
      </c>
      <c r="N14" s="37">
        <f>IF(C14="","",VLOOKUP(C14,Parametros!$B$11:$D$13,3,0)*J14*VLOOKUP(C14,Parametros!$B$11:$C$13,2,0))</f>
        <v>50.400000000000006</v>
      </c>
      <c r="O14" s="38">
        <f>+VLOOKUP(C14,Parametros!$B$11:$E$13,4,0)*J14</f>
        <v>0</v>
      </c>
      <c r="P14" s="38">
        <f>+IF(C14="","",VLOOKUP(C14,Parametros!$B$11:$F$13,5,0)*J14)</f>
        <v>28</v>
      </c>
      <c r="Q14" s="38">
        <f>+IF(C14="","",VLOOKUP(C14,Parametros!$B$11:$G$13,6,0)*J14)</f>
        <v>16.8</v>
      </c>
      <c r="R14" s="37">
        <f>+IF(C14="","",VLOOKUP(C14,Parametros!$B$11:$H$13,7,0)*J14)</f>
        <v>25.2</v>
      </c>
      <c r="S14" s="38">
        <f>IF(J14&lt;6,VLOOKUP(C14,Parametros!$B$11:$I$13,8,0)*Planilla!J14,VLOOKUP(C14,Parametros!$B$11:$I$13,8,0)*J14+VLOOKUP(C14,Parametros!$B$11:$I$13,8,0))</f>
        <v>32</v>
      </c>
      <c r="T14" s="38">
        <f>K14*VLOOKUP(C14,Parametros!$B$11:$K$13,9,0)</f>
        <v>0</v>
      </c>
      <c r="U14" s="38">
        <f>L14*VLOOKUP(C14,Parametros!$B$11:$L$13,10,0)</f>
        <v>0</v>
      </c>
      <c r="V14" s="38">
        <f t="shared" si="6"/>
        <v>320.4</v>
      </c>
      <c r="W14" s="38">
        <f t="shared" si="0"/>
        <v>263.2</v>
      </c>
      <c r="X14" s="38">
        <f>IF(H14="S.N.P.",W14*Parametros!$F$19,0)</f>
        <v>0</v>
      </c>
      <c r="Y14" s="38">
        <f>VLOOKUP(H14,Parametros!$B$19:$G$23,2,0)*W14</f>
        <v>4.606</v>
      </c>
      <c r="Z14" s="38">
        <f>VLOOKUP(H14,Parametros!$B$19:$G$23,3,0)*W14</f>
        <v>2.78992</v>
      </c>
      <c r="AA14" s="38">
        <f>VLOOKUP(H14,Parametros!$B$19:$G$23,4,0)*W14</f>
        <v>26.32</v>
      </c>
      <c r="AB14" s="38">
        <f t="shared" si="1"/>
        <v>3.92</v>
      </c>
      <c r="AC14" s="38">
        <v>0</v>
      </c>
      <c r="AD14" s="38">
        <v>0</v>
      </c>
      <c r="AE14" s="38">
        <f t="shared" si="2"/>
        <v>37.63592</v>
      </c>
      <c r="AF14" s="38">
        <f t="shared" si="3"/>
        <v>282.76408</v>
      </c>
      <c r="AG14" s="37">
        <f t="shared" si="4"/>
        <v>23.69</v>
      </c>
      <c r="AH14" s="38">
        <f t="shared" si="5"/>
        <v>4.08</v>
      </c>
      <c r="AI14" s="37"/>
    </row>
    <row r="15" spans="1:35" s="7" customFormat="1" ht="15">
      <c r="A15" s="8">
        <v>6</v>
      </c>
      <c r="B15" s="1" t="s">
        <v>68</v>
      </c>
      <c r="C15" s="31" t="s">
        <v>12</v>
      </c>
      <c r="D15" s="32" t="s">
        <v>114</v>
      </c>
      <c r="E15" s="33">
        <v>32630</v>
      </c>
      <c r="F15" s="33">
        <v>40602</v>
      </c>
      <c r="G15" s="33">
        <v>40621</v>
      </c>
      <c r="H15" s="33" t="s">
        <v>11</v>
      </c>
      <c r="I15" s="33"/>
      <c r="J15" s="35">
        <v>3</v>
      </c>
      <c r="K15" s="35"/>
      <c r="L15" s="35"/>
      <c r="M15" s="36">
        <f>IF(C15="","",VLOOKUP(C15,Parametros!$B$11:$C$13,2,0)*J15)</f>
        <v>100.80000000000001</v>
      </c>
      <c r="N15" s="37">
        <f>IF(C15="","",VLOOKUP(C15,Parametros!$B$11:$D$13,3,0)*J15*VLOOKUP(C15,Parametros!$B$11:$C$13,2,0))</f>
        <v>30.24</v>
      </c>
      <c r="O15" s="38">
        <f>+VLOOKUP(C15,Parametros!$B$11:$E$13,4,0)*J15</f>
        <v>0</v>
      </c>
      <c r="P15" s="38">
        <f>+IF(C15="","",VLOOKUP(C15,Parametros!$B$11:$F$13,5,0)*J15)</f>
        <v>16.799999999999997</v>
      </c>
      <c r="Q15" s="38">
        <f>+IF(C15="","",VLOOKUP(C15,Parametros!$B$11:$G$13,6,0)*J15)</f>
        <v>10.08</v>
      </c>
      <c r="R15" s="37">
        <f>+IF(C15="","",VLOOKUP(C15,Parametros!$B$11:$H$13,7,0)*J15)</f>
        <v>15.120000000000001</v>
      </c>
      <c r="S15" s="38">
        <f>IF(J15&lt;6,VLOOKUP(C15,Parametros!$B$11:$I$13,8,0)*Planilla!J15,VLOOKUP(C15,Parametros!$B$11:$I$13,8,0)*J15+VLOOKUP(C15,Parametros!$B$11:$I$13,8,0))</f>
        <v>19.200000000000003</v>
      </c>
      <c r="T15" s="38">
        <f>K15*VLOOKUP(C15,Parametros!$B$11:$K$13,9,0)</f>
        <v>0</v>
      </c>
      <c r="U15" s="38">
        <f>L15*VLOOKUP(C15,Parametros!$B$11:$L$13,10,0)</f>
        <v>0</v>
      </c>
      <c r="V15" s="38">
        <f t="shared" si="6"/>
        <v>192.24000000000007</v>
      </c>
      <c r="W15" s="38">
        <f t="shared" si="0"/>
        <v>157.92000000000004</v>
      </c>
      <c r="X15" s="38">
        <f>IF(H15="S.N.P.",W15*Parametros!$F$19,0)</f>
        <v>20.529600000000006</v>
      </c>
      <c r="Y15" s="38">
        <f>VLOOKUP(H15,Parametros!$B$19:$G$23,2,0)*W15</f>
        <v>0</v>
      </c>
      <c r="Z15" s="38">
        <f>VLOOKUP(H15,Parametros!$B$19:$G$23,3,0)*W15</f>
        <v>0</v>
      </c>
      <c r="AA15" s="38">
        <f>VLOOKUP(H15,Parametros!$B$19:$G$23,4,0)*W15</f>
        <v>0</v>
      </c>
      <c r="AB15" s="38">
        <f t="shared" si="1"/>
        <v>2.35</v>
      </c>
      <c r="AC15" s="38">
        <v>0</v>
      </c>
      <c r="AD15" s="38">
        <v>0</v>
      </c>
      <c r="AE15" s="38">
        <f t="shared" si="2"/>
        <v>22.879600000000007</v>
      </c>
      <c r="AF15" s="38">
        <f t="shared" si="3"/>
        <v>169.36040000000006</v>
      </c>
      <c r="AG15" s="37">
        <f t="shared" si="4"/>
        <v>14.21</v>
      </c>
      <c r="AH15" s="38">
        <f t="shared" si="5"/>
        <v>2.45</v>
      </c>
      <c r="AI15" s="37"/>
    </row>
    <row r="16" spans="1:35" s="7" customFormat="1" ht="15">
      <c r="A16" s="8">
        <v>7</v>
      </c>
      <c r="B16" s="1" t="s">
        <v>69</v>
      </c>
      <c r="C16" s="31" t="s">
        <v>12</v>
      </c>
      <c r="D16" s="32" t="s">
        <v>115</v>
      </c>
      <c r="E16" s="33">
        <v>32630</v>
      </c>
      <c r="F16" s="33">
        <v>40605</v>
      </c>
      <c r="G16" s="33">
        <v>40621</v>
      </c>
      <c r="H16" s="33" t="s">
        <v>11</v>
      </c>
      <c r="I16" s="33"/>
      <c r="J16" s="35">
        <v>5</v>
      </c>
      <c r="K16" s="35"/>
      <c r="L16" s="35"/>
      <c r="M16" s="36">
        <f>IF(C16="","",VLOOKUP(C16,Parametros!$B$11:$C$13,2,0)*J16)</f>
        <v>168</v>
      </c>
      <c r="N16" s="37">
        <f>IF(C16="","",VLOOKUP(C16,Parametros!$B$11:$D$13,3,0)*J16*VLOOKUP(C16,Parametros!$B$11:$C$13,2,0))</f>
        <v>50.400000000000006</v>
      </c>
      <c r="O16" s="38">
        <f>+VLOOKUP(C16,Parametros!$B$11:$E$13,4,0)*J16</f>
        <v>0</v>
      </c>
      <c r="P16" s="38">
        <f>+IF(C16="","",VLOOKUP(C16,Parametros!$B$11:$F$13,5,0)*J16)</f>
        <v>28</v>
      </c>
      <c r="Q16" s="38">
        <f>+IF(C16="","",VLOOKUP(C16,Parametros!$B$11:$G$13,6,0)*J16)</f>
        <v>16.8</v>
      </c>
      <c r="R16" s="37">
        <f>+IF(C16="","",VLOOKUP(C16,Parametros!$B$11:$H$13,7,0)*J16)</f>
        <v>25.2</v>
      </c>
      <c r="S16" s="38">
        <f>IF(J16&lt;6,VLOOKUP(C16,Parametros!$B$11:$I$13,8,0)*Planilla!J16,VLOOKUP(C16,Parametros!$B$11:$I$13,8,0)*J16+VLOOKUP(C16,Parametros!$B$11:$I$13,8,0))</f>
        <v>32</v>
      </c>
      <c r="T16" s="38">
        <f>K16*VLOOKUP(C16,Parametros!$B$11:$K$13,9,0)</f>
        <v>0</v>
      </c>
      <c r="U16" s="38">
        <f>L16*VLOOKUP(C16,Parametros!$B$11:$L$13,10,0)</f>
        <v>0</v>
      </c>
      <c r="V16" s="38">
        <f t="shared" si="6"/>
        <v>320.4</v>
      </c>
      <c r="W16" s="38">
        <f t="shared" si="0"/>
        <v>263.2</v>
      </c>
      <c r="X16" s="38">
        <f>IF(H16="S.N.P.",W16*Parametros!$F$19,0)</f>
        <v>34.216</v>
      </c>
      <c r="Y16" s="38">
        <f>VLOOKUP(H16,Parametros!$B$19:$G$23,2,0)*W16</f>
        <v>0</v>
      </c>
      <c r="Z16" s="38">
        <f>VLOOKUP(H16,Parametros!$B$19:$G$23,3,0)*W16</f>
        <v>0</v>
      </c>
      <c r="AA16" s="38">
        <f>VLOOKUP(H16,Parametros!$B$19:$G$23,4,0)*W16</f>
        <v>0</v>
      </c>
      <c r="AB16" s="38">
        <f t="shared" si="1"/>
        <v>3.92</v>
      </c>
      <c r="AC16" s="38">
        <v>0</v>
      </c>
      <c r="AD16" s="38">
        <v>0</v>
      </c>
      <c r="AE16" s="38">
        <f t="shared" si="2"/>
        <v>38.136</v>
      </c>
      <c r="AF16" s="38">
        <f t="shared" si="3"/>
        <v>282.26399999999995</v>
      </c>
      <c r="AG16" s="37">
        <f t="shared" si="4"/>
        <v>23.69</v>
      </c>
      <c r="AH16" s="38">
        <f t="shared" si="5"/>
        <v>4.08</v>
      </c>
      <c r="AI16" s="37"/>
    </row>
    <row r="17" spans="1:35" s="7" customFormat="1" ht="15">
      <c r="A17" s="8">
        <v>8</v>
      </c>
      <c r="B17" s="1" t="s">
        <v>70</v>
      </c>
      <c r="C17" s="31" t="s">
        <v>10</v>
      </c>
      <c r="D17" s="32" t="s">
        <v>116</v>
      </c>
      <c r="E17" s="33">
        <v>16767</v>
      </c>
      <c r="F17" s="33">
        <v>40592</v>
      </c>
      <c r="G17" s="33">
        <v>40621</v>
      </c>
      <c r="H17" s="33" t="s">
        <v>11</v>
      </c>
      <c r="I17" s="33"/>
      <c r="J17" s="35">
        <v>3</v>
      </c>
      <c r="K17" s="35"/>
      <c r="L17" s="35"/>
      <c r="M17" s="36">
        <f>IF(C17="","",VLOOKUP(C17,Parametros!$B$11:$C$13,2,0)*J17)</f>
        <v>128.39999999999998</v>
      </c>
      <c r="N17" s="37">
        <f>IF(C17="","",VLOOKUP(C17,Parametros!$B$11:$D$13,3,0)*J17*VLOOKUP(C17,Parametros!$B$11:$C$13,2,0))</f>
        <v>41.087999999999994</v>
      </c>
      <c r="O17" s="38">
        <f>+VLOOKUP(C17,Parametros!$B$11:$E$13,4,0)*J17</f>
        <v>0</v>
      </c>
      <c r="P17" s="38">
        <f>+IF(C17="","",VLOOKUP(C17,Parametros!$B$11:$F$13,5,0)*J17)</f>
        <v>21.39</v>
      </c>
      <c r="Q17" s="38">
        <f>+IF(C17="","",VLOOKUP(C17,Parametros!$B$11:$G$13,6,0)*J17)</f>
        <v>12.84</v>
      </c>
      <c r="R17" s="37">
        <f>+IF(C17="","",VLOOKUP(C17,Parametros!$B$11:$H$13,7,0)*J17)</f>
        <v>19.259999999999998</v>
      </c>
      <c r="S17" s="38">
        <f>IF(J17&lt;6,VLOOKUP(C17,Parametros!$B$11:$I$13,8,0)*Planilla!J17,VLOOKUP(C17,Parametros!$B$11:$I$13,8,0)*J17+VLOOKUP(C17,Parametros!$B$11:$I$13,8,0))</f>
        <v>24.450000000000003</v>
      </c>
      <c r="T17" s="38">
        <f>K17*VLOOKUP(C17,Parametros!$B$11:$K$13,9,0)</f>
        <v>0</v>
      </c>
      <c r="U17" s="38">
        <f>L17*VLOOKUP(C17,Parametros!$B$11:$L$13,10,0)</f>
        <v>0</v>
      </c>
      <c r="V17" s="38">
        <f t="shared" si="6"/>
        <v>247.428</v>
      </c>
      <c r="W17" s="38">
        <f t="shared" si="0"/>
        <v>203.718</v>
      </c>
      <c r="X17" s="38">
        <f>IF(H17="S.N.P.",W17*Parametros!$F$19,0)</f>
        <v>26.48334</v>
      </c>
      <c r="Y17" s="38">
        <f>VLOOKUP(H17,Parametros!$B$19:$G$23,2,0)*W17</f>
        <v>0</v>
      </c>
      <c r="Z17" s="38">
        <f>VLOOKUP(H17,Parametros!$B$19:$G$23,3,0)*W17</f>
        <v>0</v>
      </c>
      <c r="AA17" s="38">
        <f>VLOOKUP(H17,Parametros!$B$19:$G$23,4,0)*W17</f>
        <v>0</v>
      </c>
      <c r="AB17" s="38">
        <f t="shared" si="1"/>
        <v>3</v>
      </c>
      <c r="AC17" s="38">
        <v>0</v>
      </c>
      <c r="AD17" s="38">
        <v>0</v>
      </c>
      <c r="AE17" s="38">
        <f t="shared" si="2"/>
        <v>29.48334</v>
      </c>
      <c r="AF17" s="38">
        <f t="shared" si="3"/>
        <v>217.94466</v>
      </c>
      <c r="AG17" s="37">
        <f t="shared" si="4"/>
        <v>18.33</v>
      </c>
      <c r="AH17" s="38">
        <f t="shared" si="5"/>
        <v>3.16</v>
      </c>
      <c r="AI17" s="37"/>
    </row>
    <row r="18" spans="1:35" s="7" customFormat="1" ht="15">
      <c r="A18" s="8">
        <v>9</v>
      </c>
      <c r="B18" s="1" t="s">
        <v>71</v>
      </c>
      <c r="C18" s="31" t="s">
        <v>12</v>
      </c>
      <c r="D18" s="32" t="s">
        <v>117</v>
      </c>
      <c r="E18" s="33">
        <v>31866</v>
      </c>
      <c r="F18" s="33">
        <v>40568</v>
      </c>
      <c r="G18" s="33">
        <v>40621</v>
      </c>
      <c r="H18" s="33" t="s">
        <v>15</v>
      </c>
      <c r="I18" s="33" t="s">
        <v>161</v>
      </c>
      <c r="J18" s="35">
        <v>3</v>
      </c>
      <c r="K18" s="35"/>
      <c r="L18" s="35"/>
      <c r="M18" s="36">
        <f>IF(C18="","",VLOOKUP(C18,Parametros!$B$11:$C$13,2,0)*J18)</f>
        <v>100.80000000000001</v>
      </c>
      <c r="N18" s="37">
        <f>IF(C18="","",VLOOKUP(C18,Parametros!$B$11:$D$13,3,0)*J18*VLOOKUP(C18,Parametros!$B$11:$C$13,2,0))</f>
        <v>30.24</v>
      </c>
      <c r="O18" s="38">
        <f>+VLOOKUP(C18,Parametros!$B$11:$E$13,4,0)*J18</f>
        <v>0</v>
      </c>
      <c r="P18" s="38">
        <f>+IF(C18="","",VLOOKUP(C18,Parametros!$B$11:$F$13,5,0)*J18)</f>
        <v>16.799999999999997</v>
      </c>
      <c r="Q18" s="38">
        <f>+IF(C18="","",VLOOKUP(C18,Parametros!$B$11:$G$13,6,0)*J18)</f>
        <v>10.08</v>
      </c>
      <c r="R18" s="37">
        <f>+IF(C18="","",VLOOKUP(C18,Parametros!$B$11:$H$13,7,0)*J18)</f>
        <v>15.120000000000001</v>
      </c>
      <c r="S18" s="38">
        <f>IF(J18&lt;6,VLOOKUP(C18,Parametros!$B$11:$I$13,8,0)*Planilla!J18,VLOOKUP(C18,Parametros!$B$11:$I$13,8,0)*J18+VLOOKUP(C18,Parametros!$B$11:$I$13,8,0))</f>
        <v>19.200000000000003</v>
      </c>
      <c r="T18" s="38">
        <f>K18*VLOOKUP(C18,Parametros!$B$11:$K$13,9,0)</f>
        <v>0</v>
      </c>
      <c r="U18" s="38">
        <f>L18*VLOOKUP(C18,Parametros!$B$11:$L$13,10,0)</f>
        <v>0</v>
      </c>
      <c r="V18" s="38">
        <f t="shared" si="6"/>
        <v>192.24000000000007</v>
      </c>
      <c r="W18" s="38">
        <f t="shared" si="0"/>
        <v>157.92000000000004</v>
      </c>
      <c r="X18" s="38">
        <f>IF(H18="S.N.P.",W18*Parametros!$F$19,0)</f>
        <v>0</v>
      </c>
      <c r="Y18" s="38">
        <f>VLOOKUP(H18,Parametros!$B$19:$G$23,2,0)*W18</f>
        <v>3.632160000000001</v>
      </c>
      <c r="Z18" s="38">
        <f>VLOOKUP(H18,Parametros!$B$19:$G$23,3,0)*W18</f>
        <v>1.9897920000000007</v>
      </c>
      <c r="AA18" s="38">
        <f>VLOOKUP(H18,Parametros!$B$19:$G$23,4,0)*W18</f>
        <v>15.792000000000005</v>
      </c>
      <c r="AB18" s="38">
        <f t="shared" si="1"/>
        <v>2.35</v>
      </c>
      <c r="AC18" s="38">
        <v>0</v>
      </c>
      <c r="AD18" s="38">
        <v>0</v>
      </c>
      <c r="AE18" s="38">
        <f t="shared" si="2"/>
        <v>23.76395200000001</v>
      </c>
      <c r="AF18" s="38">
        <f t="shared" si="3"/>
        <v>168.47604800000005</v>
      </c>
      <c r="AG18" s="37">
        <f t="shared" si="4"/>
        <v>14.21</v>
      </c>
      <c r="AH18" s="38">
        <f t="shared" si="5"/>
        <v>2.45</v>
      </c>
      <c r="AI18" s="37"/>
    </row>
    <row r="19" spans="1:35" s="7" customFormat="1" ht="15">
      <c r="A19" s="8">
        <v>10</v>
      </c>
      <c r="B19" s="1" t="s">
        <v>72</v>
      </c>
      <c r="C19" s="31" t="s">
        <v>12</v>
      </c>
      <c r="D19" s="32" t="s">
        <v>118</v>
      </c>
      <c r="E19" s="33">
        <v>31866</v>
      </c>
      <c r="F19" s="33">
        <v>40598</v>
      </c>
      <c r="G19" s="33">
        <v>40621</v>
      </c>
      <c r="H19" s="33" t="s">
        <v>11</v>
      </c>
      <c r="I19" s="33"/>
      <c r="J19" s="35">
        <v>3</v>
      </c>
      <c r="K19" s="35"/>
      <c r="L19" s="35"/>
      <c r="M19" s="36">
        <f>IF(C19="","",VLOOKUP(C19,Parametros!$B$11:$C$13,2,0)*J19)</f>
        <v>100.80000000000001</v>
      </c>
      <c r="N19" s="37">
        <f>IF(C19="","",VLOOKUP(C19,Parametros!$B$11:$D$13,3,0)*J19*VLOOKUP(C19,Parametros!$B$11:$C$13,2,0))</f>
        <v>30.24</v>
      </c>
      <c r="O19" s="38">
        <f>+VLOOKUP(C19,Parametros!$B$11:$E$13,4,0)*J19</f>
        <v>0</v>
      </c>
      <c r="P19" s="38">
        <f>+IF(C19="","",VLOOKUP(C19,Parametros!$B$11:$F$13,5,0)*J19)</f>
        <v>16.799999999999997</v>
      </c>
      <c r="Q19" s="38">
        <f>+IF(C19="","",VLOOKUP(C19,Parametros!$B$11:$G$13,6,0)*J19)</f>
        <v>10.08</v>
      </c>
      <c r="R19" s="37">
        <f>+IF(C19="","",VLOOKUP(C19,Parametros!$B$11:$H$13,7,0)*J19)</f>
        <v>15.120000000000001</v>
      </c>
      <c r="S19" s="38">
        <f>IF(J19&lt;6,VLOOKUP(C19,Parametros!$B$11:$I$13,8,0)*Planilla!J19,VLOOKUP(C19,Parametros!$B$11:$I$13,8,0)*J19+VLOOKUP(C19,Parametros!$B$11:$I$13,8,0))</f>
        <v>19.200000000000003</v>
      </c>
      <c r="T19" s="38">
        <f>K19*VLOOKUP(C19,Parametros!$B$11:$K$13,9,0)</f>
        <v>0</v>
      </c>
      <c r="U19" s="38">
        <f>L19*VLOOKUP(C19,Parametros!$B$11:$L$13,10,0)</f>
        <v>0</v>
      </c>
      <c r="V19" s="38">
        <f t="shared" si="6"/>
        <v>192.24000000000007</v>
      </c>
      <c r="W19" s="38">
        <f t="shared" si="0"/>
        <v>157.92000000000004</v>
      </c>
      <c r="X19" s="38">
        <f>IF(H19="S.N.P.",W19*Parametros!$F$19,0)</f>
        <v>20.529600000000006</v>
      </c>
      <c r="Y19" s="38">
        <f>VLOOKUP(H19,Parametros!$B$19:$G$23,2,0)*W19</f>
        <v>0</v>
      </c>
      <c r="Z19" s="38">
        <f>VLOOKUP(H19,Parametros!$B$19:$G$23,3,0)*W19</f>
        <v>0</v>
      </c>
      <c r="AA19" s="38">
        <f>VLOOKUP(H19,Parametros!$B$19:$G$23,4,0)*W19</f>
        <v>0</v>
      </c>
      <c r="AB19" s="38">
        <f t="shared" si="1"/>
        <v>2.35</v>
      </c>
      <c r="AC19" s="38">
        <v>0</v>
      </c>
      <c r="AD19" s="38">
        <v>0</v>
      </c>
      <c r="AE19" s="38">
        <f t="shared" si="2"/>
        <v>22.879600000000007</v>
      </c>
      <c r="AF19" s="38">
        <f t="shared" si="3"/>
        <v>169.36040000000006</v>
      </c>
      <c r="AG19" s="37">
        <f t="shared" si="4"/>
        <v>14.21</v>
      </c>
      <c r="AH19" s="38">
        <f t="shared" si="5"/>
        <v>2.45</v>
      </c>
      <c r="AI19" s="37"/>
    </row>
    <row r="20" spans="1:35" s="7" customFormat="1" ht="15">
      <c r="A20" s="8">
        <v>11</v>
      </c>
      <c r="B20" s="1" t="s">
        <v>73</v>
      </c>
      <c r="C20" s="31" t="s">
        <v>12</v>
      </c>
      <c r="D20" s="32" t="s">
        <v>119</v>
      </c>
      <c r="E20" s="33">
        <v>31866</v>
      </c>
      <c r="F20" s="33">
        <v>40606</v>
      </c>
      <c r="G20" s="33">
        <v>40621</v>
      </c>
      <c r="H20" s="33" t="s">
        <v>11</v>
      </c>
      <c r="I20" s="33"/>
      <c r="J20" s="35">
        <v>4</v>
      </c>
      <c r="K20" s="35">
        <v>4</v>
      </c>
      <c r="L20" s="35"/>
      <c r="M20" s="36">
        <f>IF(C20="","",VLOOKUP(C20,Parametros!$B$11:$C$13,2,0)*J20)</f>
        <v>134.4</v>
      </c>
      <c r="N20" s="37">
        <f>IF(C20="","",VLOOKUP(C20,Parametros!$B$11:$D$13,3,0)*J20*VLOOKUP(C20,Parametros!$B$11:$C$13,2,0))</f>
        <v>40.32</v>
      </c>
      <c r="O20" s="38">
        <f>+VLOOKUP(C20,Parametros!$B$11:$E$13,4,0)*J20</f>
        <v>0</v>
      </c>
      <c r="P20" s="38">
        <f>+IF(C20="","",VLOOKUP(C20,Parametros!$B$11:$F$13,5,0)*J20)</f>
        <v>22.4</v>
      </c>
      <c r="Q20" s="38">
        <f>+IF(C20="","",VLOOKUP(C20,Parametros!$B$11:$G$13,6,0)*J20)</f>
        <v>13.44</v>
      </c>
      <c r="R20" s="37">
        <f>+IF(C20="","",VLOOKUP(C20,Parametros!$B$11:$H$13,7,0)*J20)</f>
        <v>20.16</v>
      </c>
      <c r="S20" s="38">
        <f>IF(J20&lt;6,VLOOKUP(C20,Parametros!$B$11:$I$13,8,0)*Planilla!J20,VLOOKUP(C20,Parametros!$B$11:$I$13,8,0)*J20+VLOOKUP(C20,Parametros!$B$11:$I$13,8,0))</f>
        <v>25.6</v>
      </c>
      <c r="T20" s="38">
        <f>K20*VLOOKUP(C20,Parametros!$B$11:$K$13,9,0)</f>
        <v>26.880000000000003</v>
      </c>
      <c r="U20" s="38">
        <f>L20*VLOOKUP(C20,Parametros!$B$11:$L$13,10,0)</f>
        <v>0</v>
      </c>
      <c r="V20" s="38">
        <f t="shared" si="6"/>
        <v>283.2</v>
      </c>
      <c r="W20" s="38">
        <f t="shared" si="0"/>
        <v>237.44</v>
      </c>
      <c r="X20" s="38">
        <f>IF(H20="S.N.P.",W20*Parametros!$F$19,0)</f>
        <v>30.8672</v>
      </c>
      <c r="Y20" s="38">
        <f>VLOOKUP(H20,Parametros!$B$19:$G$23,2,0)*W20</f>
        <v>0</v>
      </c>
      <c r="Z20" s="38">
        <f>VLOOKUP(H20,Parametros!$B$19:$G$23,3,0)*W20</f>
        <v>0</v>
      </c>
      <c r="AA20" s="38">
        <f>VLOOKUP(H20,Parametros!$B$19:$G$23,4,0)*W20</f>
        <v>0</v>
      </c>
      <c r="AB20" s="38">
        <f t="shared" si="1"/>
        <v>3.14</v>
      </c>
      <c r="AC20" s="38">
        <v>0</v>
      </c>
      <c r="AD20" s="38">
        <v>0</v>
      </c>
      <c r="AE20" s="38">
        <f t="shared" si="2"/>
        <v>34.0072</v>
      </c>
      <c r="AF20" s="38">
        <f t="shared" si="3"/>
        <v>249.19279999999998</v>
      </c>
      <c r="AG20" s="37">
        <f t="shared" si="4"/>
        <v>21.37</v>
      </c>
      <c r="AH20" s="38">
        <f t="shared" si="5"/>
        <v>3.68</v>
      </c>
      <c r="AI20" s="37"/>
    </row>
    <row r="21" spans="1:35" s="7" customFormat="1" ht="15">
      <c r="A21" s="8">
        <v>12</v>
      </c>
      <c r="B21" s="1" t="s">
        <v>74</v>
      </c>
      <c r="C21" s="31" t="s">
        <v>10</v>
      </c>
      <c r="D21" s="32" t="s">
        <v>120</v>
      </c>
      <c r="E21" s="33">
        <v>23664</v>
      </c>
      <c r="F21" s="33">
        <v>40586</v>
      </c>
      <c r="G21" s="33">
        <v>40621</v>
      </c>
      <c r="H21" s="33" t="s">
        <v>11</v>
      </c>
      <c r="I21" s="33"/>
      <c r="J21" s="35">
        <v>4</v>
      </c>
      <c r="K21" s="35">
        <v>4</v>
      </c>
      <c r="L21" s="35"/>
      <c r="M21" s="36">
        <f>IF(C21="","",VLOOKUP(C21,Parametros!$B$11:$C$13,2,0)*J21)</f>
        <v>171.2</v>
      </c>
      <c r="N21" s="37">
        <f>IF(C21="","",VLOOKUP(C21,Parametros!$B$11:$D$13,3,0)*J21*VLOOKUP(C21,Parametros!$B$11:$C$13,2,0))</f>
        <v>54.784</v>
      </c>
      <c r="O21" s="38">
        <f>+VLOOKUP(C21,Parametros!$B$11:$E$13,4,0)*J21</f>
        <v>0</v>
      </c>
      <c r="P21" s="38">
        <f>+IF(C21="","",VLOOKUP(C21,Parametros!$B$11:$F$13,5,0)*J21)</f>
        <v>28.52</v>
      </c>
      <c r="Q21" s="38">
        <f>+IF(C21="","",VLOOKUP(C21,Parametros!$B$11:$G$13,6,0)*J21)</f>
        <v>17.12</v>
      </c>
      <c r="R21" s="37">
        <f>+IF(C21="","",VLOOKUP(C21,Parametros!$B$11:$H$13,7,0)*J21)</f>
        <v>25.68</v>
      </c>
      <c r="S21" s="38">
        <f>IF(J21&lt;6,VLOOKUP(C21,Parametros!$B$11:$I$13,8,0)*Planilla!J21,VLOOKUP(C21,Parametros!$B$11:$I$13,8,0)*J21+VLOOKUP(C21,Parametros!$B$11:$I$13,8,0))</f>
        <v>32.6</v>
      </c>
      <c r="T21" s="38">
        <f>K21*VLOOKUP(C21,Parametros!$B$11:$K$13,9,0)</f>
        <v>34.24</v>
      </c>
      <c r="U21" s="38">
        <f>L21*VLOOKUP(C21,Parametros!$B$11:$L$13,10,0)</f>
        <v>0</v>
      </c>
      <c r="V21" s="38">
        <f t="shared" si="6"/>
        <v>364.144</v>
      </c>
      <c r="W21" s="38">
        <f t="shared" si="0"/>
        <v>305.864</v>
      </c>
      <c r="X21" s="38">
        <f>IF(H21="S.N.P.",W21*Parametros!$F$19,0)</f>
        <v>39.762319999999995</v>
      </c>
      <c r="Y21" s="38">
        <f>VLOOKUP(H21,Parametros!$B$19:$G$23,2,0)*W21</f>
        <v>0</v>
      </c>
      <c r="Z21" s="38">
        <f>VLOOKUP(H21,Parametros!$B$19:$G$23,3,0)*W21</f>
        <v>0</v>
      </c>
      <c r="AA21" s="38">
        <f>VLOOKUP(H21,Parametros!$B$19:$G$23,4,0)*W21</f>
        <v>0</v>
      </c>
      <c r="AB21" s="38">
        <f t="shared" si="1"/>
        <v>3.99</v>
      </c>
      <c r="AC21" s="38">
        <v>0</v>
      </c>
      <c r="AD21" s="38">
        <v>0</v>
      </c>
      <c r="AE21" s="38">
        <f t="shared" si="2"/>
        <v>43.75232</v>
      </c>
      <c r="AF21" s="38">
        <f t="shared" si="3"/>
        <v>320.39168</v>
      </c>
      <c r="AG21" s="37">
        <f t="shared" si="4"/>
        <v>27.53</v>
      </c>
      <c r="AH21" s="38">
        <f t="shared" si="5"/>
        <v>4.74</v>
      </c>
      <c r="AI21" s="37"/>
    </row>
    <row r="22" spans="1:35" s="7" customFormat="1" ht="15">
      <c r="A22" s="8">
        <v>13</v>
      </c>
      <c r="B22" s="1" t="s">
        <v>75</v>
      </c>
      <c r="C22" s="31" t="s">
        <v>12</v>
      </c>
      <c r="D22" s="32" t="s">
        <v>121</v>
      </c>
      <c r="E22" s="33">
        <v>27057</v>
      </c>
      <c r="F22" s="33">
        <v>40618</v>
      </c>
      <c r="G22" s="33">
        <v>40621</v>
      </c>
      <c r="H22" s="34" t="s">
        <v>11</v>
      </c>
      <c r="I22" s="33"/>
      <c r="J22" s="35">
        <v>6</v>
      </c>
      <c r="K22" s="35"/>
      <c r="L22" s="35"/>
      <c r="M22" s="36">
        <f>IF(C22="","",VLOOKUP(C22,Parametros!$B$11:$C$13,2,0)*J22)</f>
        <v>201.60000000000002</v>
      </c>
      <c r="N22" s="37">
        <f>IF(C22="","",VLOOKUP(C22,Parametros!$B$11:$D$13,3,0)*J22*VLOOKUP(C22,Parametros!$B$11:$C$13,2,0))</f>
        <v>60.48</v>
      </c>
      <c r="O22" s="38">
        <f>+VLOOKUP(C22,Parametros!$B$11:$E$13,4,0)*J22</f>
        <v>0</v>
      </c>
      <c r="P22" s="38">
        <f>+IF(C22="","",VLOOKUP(C22,Parametros!$B$11:$F$13,5,0)*J22)</f>
        <v>33.599999999999994</v>
      </c>
      <c r="Q22" s="38">
        <f>+IF(C22="","",VLOOKUP(C22,Parametros!$B$11:$G$13,6,0)*J22)</f>
        <v>20.16</v>
      </c>
      <c r="R22" s="37">
        <f>+IF(C22="","",VLOOKUP(C22,Parametros!$B$11:$H$13,7,0)*J22)</f>
        <v>30.240000000000002</v>
      </c>
      <c r="S22" s="38">
        <f>IF(J22&lt;6,VLOOKUP(C22,Parametros!$B$11:$I$13,8,0)*Planilla!J22,VLOOKUP(C22,Parametros!$B$11:$I$13,8,0)*J22+VLOOKUP(C22,Parametros!$B$11:$I$13,8,0))</f>
        <v>44.800000000000004</v>
      </c>
      <c r="T22" s="38">
        <f>K22*VLOOKUP(C22,Parametros!$B$11:$K$13,9,0)</f>
        <v>0</v>
      </c>
      <c r="U22" s="38">
        <f>L22*VLOOKUP(C22,Parametros!$B$11:$L$13,10,0)</f>
        <v>0</v>
      </c>
      <c r="V22" s="38">
        <f t="shared" si="6"/>
        <v>390.8800000000001</v>
      </c>
      <c r="W22" s="38">
        <f t="shared" si="0"/>
        <v>315.8400000000001</v>
      </c>
      <c r="X22" s="38">
        <f>IF(H22="S.N.P.",W22*Parametros!$F$19,0)</f>
        <v>41.05920000000001</v>
      </c>
      <c r="Y22" s="38">
        <f>VLOOKUP(H22,Parametros!$B$19:$G$23,2,0)*W22</f>
        <v>0</v>
      </c>
      <c r="Z22" s="38">
        <f>VLOOKUP(H22,Parametros!$B$19:$G$23,3,0)*W22</f>
        <v>0</v>
      </c>
      <c r="AA22" s="38">
        <f>VLOOKUP(H22,Parametros!$B$19:$G$23,4,0)*W22</f>
        <v>0</v>
      </c>
      <c r="AB22" s="38">
        <f t="shared" si="1"/>
        <v>4.7</v>
      </c>
      <c r="AC22" s="38">
        <v>0</v>
      </c>
      <c r="AD22" s="38">
        <v>0</v>
      </c>
      <c r="AE22" s="38">
        <f t="shared" si="2"/>
        <v>45.759200000000014</v>
      </c>
      <c r="AF22" s="38">
        <f t="shared" si="3"/>
        <v>345.1208000000001</v>
      </c>
      <c r="AG22" s="37">
        <f t="shared" si="4"/>
        <v>28.43</v>
      </c>
      <c r="AH22" s="38">
        <f t="shared" si="5"/>
        <v>4.9</v>
      </c>
      <c r="AI22" s="37"/>
    </row>
    <row r="23" spans="1:35" s="7" customFormat="1" ht="15">
      <c r="A23" s="8">
        <v>14</v>
      </c>
      <c r="B23" s="1" t="s">
        <v>76</v>
      </c>
      <c r="C23" s="31" t="s">
        <v>12</v>
      </c>
      <c r="D23" s="32" t="s">
        <v>122</v>
      </c>
      <c r="E23" s="33">
        <v>30439</v>
      </c>
      <c r="F23" s="33">
        <v>40568</v>
      </c>
      <c r="G23" s="33">
        <v>40621</v>
      </c>
      <c r="H23" s="33" t="s">
        <v>11</v>
      </c>
      <c r="I23" s="33"/>
      <c r="J23" s="35">
        <v>3</v>
      </c>
      <c r="K23" s="35"/>
      <c r="L23" s="35"/>
      <c r="M23" s="36">
        <f>IF(C23="","",VLOOKUP(C23,Parametros!$B$11:$C$13,2,0)*J23)</f>
        <v>100.80000000000001</v>
      </c>
      <c r="N23" s="37">
        <f>IF(C23="","",VLOOKUP(C23,Parametros!$B$11:$D$13,3,0)*J23*VLOOKUP(C23,Parametros!$B$11:$C$13,2,0))</f>
        <v>30.24</v>
      </c>
      <c r="O23" s="38">
        <f>+VLOOKUP(C23,Parametros!$B$11:$E$13,4,0)*J23</f>
        <v>0</v>
      </c>
      <c r="P23" s="38">
        <f>+IF(C23="","",VLOOKUP(C23,Parametros!$B$11:$F$13,5,0)*J23)</f>
        <v>16.799999999999997</v>
      </c>
      <c r="Q23" s="38">
        <f>+IF(C23="","",VLOOKUP(C23,Parametros!$B$11:$G$13,6,0)*J23)</f>
        <v>10.08</v>
      </c>
      <c r="R23" s="37">
        <f>+IF(C23="","",VLOOKUP(C23,Parametros!$B$11:$H$13,7,0)*J23)</f>
        <v>15.120000000000001</v>
      </c>
      <c r="S23" s="38">
        <f>IF(J23&lt;6,VLOOKUP(C23,Parametros!$B$11:$I$13,8,0)*Planilla!J23,VLOOKUP(C23,Parametros!$B$11:$I$13,8,0)*J23+VLOOKUP(C23,Parametros!$B$11:$I$13,8,0))</f>
        <v>19.200000000000003</v>
      </c>
      <c r="T23" s="38">
        <f>K23*VLOOKUP(C23,Parametros!$B$11:$K$13,9,0)</f>
        <v>0</v>
      </c>
      <c r="U23" s="38">
        <f>L23*VLOOKUP(C23,Parametros!$B$11:$L$13,10,0)</f>
        <v>0</v>
      </c>
      <c r="V23" s="38">
        <f t="shared" si="6"/>
        <v>192.24000000000007</v>
      </c>
      <c r="W23" s="38">
        <f t="shared" si="0"/>
        <v>157.92000000000004</v>
      </c>
      <c r="X23" s="38">
        <f>IF(H23="S.N.P.",W23*Parametros!$F$19,0)</f>
        <v>20.529600000000006</v>
      </c>
      <c r="Y23" s="38">
        <f>VLOOKUP(H23,Parametros!$B$19:$G$23,2,0)*W23</f>
        <v>0</v>
      </c>
      <c r="Z23" s="38">
        <f>VLOOKUP(H23,Parametros!$B$19:$G$23,3,0)*W23</f>
        <v>0</v>
      </c>
      <c r="AA23" s="38">
        <f>VLOOKUP(H23,Parametros!$B$19:$G$23,4,0)*W23</f>
        <v>0</v>
      </c>
      <c r="AB23" s="38">
        <f t="shared" si="1"/>
        <v>2.35</v>
      </c>
      <c r="AC23" s="38">
        <v>0</v>
      </c>
      <c r="AD23" s="38">
        <v>0</v>
      </c>
      <c r="AE23" s="38">
        <f t="shared" si="2"/>
        <v>22.879600000000007</v>
      </c>
      <c r="AF23" s="38">
        <f t="shared" si="3"/>
        <v>169.36040000000006</v>
      </c>
      <c r="AG23" s="37">
        <f t="shared" si="4"/>
        <v>14.21</v>
      </c>
      <c r="AH23" s="38">
        <f t="shared" si="5"/>
        <v>2.45</v>
      </c>
      <c r="AI23" s="37"/>
    </row>
    <row r="24" spans="1:35" s="7" customFormat="1" ht="15">
      <c r="A24" s="8">
        <v>15</v>
      </c>
      <c r="B24" s="1" t="s">
        <v>77</v>
      </c>
      <c r="C24" s="31" t="s">
        <v>12</v>
      </c>
      <c r="D24" s="32" t="s">
        <v>123</v>
      </c>
      <c r="E24" s="33">
        <v>30085</v>
      </c>
      <c r="F24" s="33">
        <v>40568</v>
      </c>
      <c r="G24" s="33">
        <v>40621</v>
      </c>
      <c r="H24" s="33" t="s">
        <v>11</v>
      </c>
      <c r="I24" s="33"/>
      <c r="J24" s="35">
        <v>3</v>
      </c>
      <c r="K24" s="35"/>
      <c r="L24" s="35"/>
      <c r="M24" s="36">
        <f>IF(C24="","",VLOOKUP(C24,Parametros!$B$11:$C$13,2,0)*J24)</f>
        <v>100.80000000000001</v>
      </c>
      <c r="N24" s="37">
        <f>IF(C24="","",VLOOKUP(C24,Parametros!$B$11:$D$13,3,0)*J24*VLOOKUP(C24,Parametros!$B$11:$C$13,2,0))</f>
        <v>30.24</v>
      </c>
      <c r="O24" s="38">
        <f>+VLOOKUP(C24,Parametros!$B$11:$E$13,4,0)*J24</f>
        <v>0</v>
      </c>
      <c r="P24" s="38">
        <f>+IF(C24="","",VLOOKUP(C24,Parametros!$B$11:$F$13,5,0)*J24)</f>
        <v>16.799999999999997</v>
      </c>
      <c r="Q24" s="38">
        <f>+IF(C24="","",VLOOKUP(C24,Parametros!$B$11:$G$13,6,0)*J24)</f>
        <v>10.08</v>
      </c>
      <c r="R24" s="37">
        <f>+IF(C24="","",VLOOKUP(C24,Parametros!$B$11:$H$13,7,0)*J24)</f>
        <v>15.120000000000001</v>
      </c>
      <c r="S24" s="38">
        <f>IF(J24&lt;6,VLOOKUP(C24,Parametros!$B$11:$I$13,8,0)*Planilla!J24,VLOOKUP(C24,Parametros!$B$11:$I$13,8,0)*J24+VLOOKUP(C24,Parametros!$B$11:$I$13,8,0))</f>
        <v>19.200000000000003</v>
      </c>
      <c r="T24" s="38">
        <f>K24*VLOOKUP(C24,Parametros!$B$11:$K$13,9,0)</f>
        <v>0</v>
      </c>
      <c r="U24" s="38">
        <f>L24*VLOOKUP(C24,Parametros!$B$11:$L$13,10,0)</f>
        <v>0</v>
      </c>
      <c r="V24" s="38">
        <f t="shared" si="6"/>
        <v>192.24000000000007</v>
      </c>
      <c r="W24" s="38">
        <f t="shared" si="0"/>
        <v>157.92000000000004</v>
      </c>
      <c r="X24" s="38">
        <f>IF(H24="S.N.P.",W24*Parametros!$F$19,0)</f>
        <v>20.529600000000006</v>
      </c>
      <c r="Y24" s="38">
        <f>VLOOKUP(H24,Parametros!$B$19:$G$23,2,0)*W24</f>
        <v>0</v>
      </c>
      <c r="Z24" s="38">
        <f>VLOOKUP(H24,Parametros!$B$19:$G$23,3,0)*W24</f>
        <v>0</v>
      </c>
      <c r="AA24" s="38">
        <f>VLOOKUP(H24,Parametros!$B$19:$G$23,4,0)*W24</f>
        <v>0</v>
      </c>
      <c r="AB24" s="38">
        <f t="shared" si="1"/>
        <v>2.35</v>
      </c>
      <c r="AC24" s="38">
        <v>0</v>
      </c>
      <c r="AD24" s="38">
        <v>0</v>
      </c>
      <c r="AE24" s="38">
        <f t="shared" si="2"/>
        <v>22.879600000000007</v>
      </c>
      <c r="AF24" s="38">
        <f t="shared" si="3"/>
        <v>169.36040000000006</v>
      </c>
      <c r="AG24" s="37">
        <f t="shared" si="4"/>
        <v>14.21</v>
      </c>
      <c r="AH24" s="38">
        <f t="shared" si="5"/>
        <v>2.45</v>
      </c>
      <c r="AI24" s="37"/>
    </row>
    <row r="25" spans="1:35" s="7" customFormat="1" ht="15">
      <c r="A25" s="8">
        <v>16</v>
      </c>
      <c r="B25" s="1" t="s">
        <v>78</v>
      </c>
      <c r="C25" s="31" t="s">
        <v>12</v>
      </c>
      <c r="D25" s="32" t="s">
        <v>124</v>
      </c>
      <c r="E25" s="33">
        <v>29469</v>
      </c>
      <c r="F25" s="33">
        <v>40568</v>
      </c>
      <c r="G25" s="33">
        <v>40621</v>
      </c>
      <c r="H25" s="33" t="s">
        <v>16</v>
      </c>
      <c r="I25" s="33" t="s">
        <v>155</v>
      </c>
      <c r="J25" s="35">
        <v>4</v>
      </c>
      <c r="K25" s="35"/>
      <c r="L25" s="35"/>
      <c r="M25" s="36">
        <f>IF(C25="","",VLOOKUP(C25,Parametros!$B$11:$C$13,2,0)*J25)</f>
        <v>134.4</v>
      </c>
      <c r="N25" s="37">
        <f>IF(C25="","",VLOOKUP(C25,Parametros!$B$11:$D$13,3,0)*J25*VLOOKUP(C25,Parametros!$B$11:$C$13,2,0))</f>
        <v>40.32</v>
      </c>
      <c r="O25" s="38">
        <f>+VLOOKUP(C25,Parametros!$B$11:$E$13,4,0)*J25</f>
        <v>0</v>
      </c>
      <c r="P25" s="38">
        <f>+IF(C25="","",VLOOKUP(C25,Parametros!$B$11:$F$13,5,0)*J25)</f>
        <v>22.4</v>
      </c>
      <c r="Q25" s="38">
        <f>+IF(C25="","",VLOOKUP(C25,Parametros!$B$11:$G$13,6,0)*J25)</f>
        <v>13.44</v>
      </c>
      <c r="R25" s="37">
        <f>+IF(C25="","",VLOOKUP(C25,Parametros!$B$11:$H$13,7,0)*J25)</f>
        <v>20.16</v>
      </c>
      <c r="S25" s="38">
        <f>IF(J25&lt;6,VLOOKUP(C25,Parametros!$B$11:$I$13,8,0)*Planilla!J25,VLOOKUP(C25,Parametros!$B$11:$I$13,8,0)*J25+VLOOKUP(C25,Parametros!$B$11:$I$13,8,0))</f>
        <v>25.6</v>
      </c>
      <c r="T25" s="38">
        <f>K25*VLOOKUP(C25,Parametros!$B$11:$K$13,9,0)</f>
        <v>0</v>
      </c>
      <c r="U25" s="38">
        <f>L25*VLOOKUP(C25,Parametros!$B$11:$L$13,10,0)</f>
        <v>0</v>
      </c>
      <c r="V25" s="38">
        <f t="shared" si="6"/>
        <v>256.32</v>
      </c>
      <c r="W25" s="38">
        <f t="shared" si="0"/>
        <v>210.56</v>
      </c>
      <c r="X25" s="38">
        <f>IF(H25="S.N.P.",W25*Parametros!$F$19,0)</f>
        <v>0</v>
      </c>
      <c r="Y25" s="38">
        <f>VLOOKUP(H25,Parametros!$B$19:$G$23,2,0)*W25</f>
        <v>3.7900799999999997</v>
      </c>
      <c r="Z25" s="38">
        <f>VLOOKUP(H25,Parametros!$B$19:$G$23,3,0)*W25</f>
        <v>2.168768</v>
      </c>
      <c r="AA25" s="38">
        <f>VLOOKUP(H25,Parametros!$B$19:$G$23,4,0)*W25</f>
        <v>21.056</v>
      </c>
      <c r="AB25" s="38">
        <f t="shared" si="1"/>
        <v>3.14</v>
      </c>
      <c r="AC25" s="38">
        <v>0</v>
      </c>
      <c r="AD25" s="38">
        <v>0</v>
      </c>
      <c r="AE25" s="38">
        <f t="shared" si="2"/>
        <v>30.154848</v>
      </c>
      <c r="AF25" s="38">
        <f t="shared" si="3"/>
        <v>226.16515199999998</v>
      </c>
      <c r="AG25" s="37">
        <f t="shared" si="4"/>
        <v>18.95</v>
      </c>
      <c r="AH25" s="38">
        <f t="shared" si="5"/>
        <v>3.26</v>
      </c>
      <c r="AI25" s="37"/>
    </row>
    <row r="26" spans="1:35" s="7" customFormat="1" ht="15">
      <c r="A26" s="8">
        <v>17</v>
      </c>
      <c r="B26" s="1" t="s">
        <v>79</v>
      </c>
      <c r="C26" s="31" t="s">
        <v>10</v>
      </c>
      <c r="D26" s="32" t="s">
        <v>125</v>
      </c>
      <c r="E26" s="33">
        <v>28719</v>
      </c>
      <c r="F26" s="33">
        <v>40599</v>
      </c>
      <c r="G26" s="33">
        <v>40621</v>
      </c>
      <c r="H26" s="33" t="s">
        <v>11</v>
      </c>
      <c r="I26" s="33"/>
      <c r="J26" s="35">
        <v>3</v>
      </c>
      <c r="K26" s="35"/>
      <c r="L26" s="35"/>
      <c r="M26" s="36">
        <f>IF(C26="","",VLOOKUP(C26,Parametros!$B$11:$C$13,2,0)*J26)</f>
        <v>128.39999999999998</v>
      </c>
      <c r="N26" s="37">
        <f>IF(C26="","",VLOOKUP(C26,Parametros!$B$11:$D$13,3,0)*J26*VLOOKUP(C26,Parametros!$B$11:$C$13,2,0))</f>
        <v>41.087999999999994</v>
      </c>
      <c r="O26" s="38">
        <f>+VLOOKUP(C26,Parametros!$B$11:$E$13,4,0)*J26</f>
        <v>0</v>
      </c>
      <c r="P26" s="38">
        <f>+IF(C26="","",VLOOKUP(C26,Parametros!$B$11:$F$13,5,0)*J26)</f>
        <v>21.39</v>
      </c>
      <c r="Q26" s="38">
        <f>+IF(C26="","",VLOOKUP(C26,Parametros!$B$11:$G$13,6,0)*J26)</f>
        <v>12.84</v>
      </c>
      <c r="R26" s="37">
        <f>+IF(C26="","",VLOOKUP(C26,Parametros!$B$11:$H$13,7,0)*J26)</f>
        <v>19.259999999999998</v>
      </c>
      <c r="S26" s="38">
        <f>IF(J26&lt;6,VLOOKUP(C26,Parametros!$B$11:$I$13,8,0)*Planilla!J26,VLOOKUP(C26,Parametros!$B$11:$I$13,8,0)*J26+VLOOKUP(C26,Parametros!$B$11:$I$13,8,0))</f>
        <v>24.450000000000003</v>
      </c>
      <c r="T26" s="38">
        <f>K26*VLOOKUP(C26,Parametros!$B$11:$K$13,9,0)</f>
        <v>0</v>
      </c>
      <c r="U26" s="38">
        <f>L26*VLOOKUP(C26,Parametros!$B$11:$L$13,10,0)</f>
        <v>0</v>
      </c>
      <c r="V26" s="38">
        <f t="shared" si="6"/>
        <v>247.428</v>
      </c>
      <c r="W26" s="38">
        <f t="shared" si="0"/>
        <v>203.718</v>
      </c>
      <c r="X26" s="38">
        <f>IF(H26="S.N.P.",W26*Parametros!$F$19,0)</f>
        <v>26.48334</v>
      </c>
      <c r="Y26" s="38">
        <f>VLOOKUP(H26,Parametros!$B$19:$G$23,2,0)*W26</f>
        <v>0</v>
      </c>
      <c r="Z26" s="38">
        <f>VLOOKUP(H26,Parametros!$B$19:$G$23,3,0)*W26</f>
        <v>0</v>
      </c>
      <c r="AA26" s="38">
        <f>VLOOKUP(H26,Parametros!$B$19:$G$23,4,0)*W26</f>
        <v>0</v>
      </c>
      <c r="AB26" s="38">
        <f t="shared" si="1"/>
        <v>3</v>
      </c>
      <c r="AC26" s="38">
        <v>0</v>
      </c>
      <c r="AD26" s="38">
        <v>0</v>
      </c>
      <c r="AE26" s="38">
        <f t="shared" si="2"/>
        <v>29.48334</v>
      </c>
      <c r="AF26" s="38">
        <f t="shared" si="3"/>
        <v>217.94466</v>
      </c>
      <c r="AG26" s="37">
        <f t="shared" si="4"/>
        <v>18.33</v>
      </c>
      <c r="AH26" s="38">
        <f t="shared" si="5"/>
        <v>3.16</v>
      </c>
      <c r="AI26" s="37"/>
    </row>
    <row r="27" spans="1:35" s="7" customFormat="1" ht="15">
      <c r="A27" s="8">
        <v>18</v>
      </c>
      <c r="B27" s="1" t="s">
        <v>80</v>
      </c>
      <c r="C27" s="31" t="s">
        <v>12</v>
      </c>
      <c r="D27" s="32" t="s">
        <v>126</v>
      </c>
      <c r="E27" s="33">
        <v>32874</v>
      </c>
      <c r="F27" s="33">
        <v>40585</v>
      </c>
      <c r="G27" s="33">
        <v>40621</v>
      </c>
      <c r="H27" s="34" t="s">
        <v>11</v>
      </c>
      <c r="I27" s="33"/>
      <c r="J27" s="35">
        <v>4</v>
      </c>
      <c r="K27" s="35"/>
      <c r="L27" s="35"/>
      <c r="M27" s="36">
        <f>IF(C27="","",VLOOKUP(C27,Parametros!$B$11:$C$13,2,0)*J27)</f>
        <v>134.4</v>
      </c>
      <c r="N27" s="37">
        <f>IF(C27="","",VLOOKUP(C27,Parametros!$B$11:$D$13,3,0)*J27*VLOOKUP(C27,Parametros!$B$11:$C$13,2,0))</f>
        <v>40.32</v>
      </c>
      <c r="O27" s="38">
        <f>+VLOOKUP(C27,Parametros!$B$11:$E$13,4,0)*J27</f>
        <v>0</v>
      </c>
      <c r="P27" s="38">
        <f>+IF(C27="","",VLOOKUP(C27,Parametros!$B$11:$F$13,5,0)*J27)</f>
        <v>22.4</v>
      </c>
      <c r="Q27" s="38">
        <f>+IF(C27="","",VLOOKUP(C27,Parametros!$B$11:$G$13,6,0)*J27)</f>
        <v>13.44</v>
      </c>
      <c r="R27" s="37">
        <f>+IF(C27="","",VLOOKUP(C27,Parametros!$B$11:$H$13,7,0)*J27)</f>
        <v>20.16</v>
      </c>
      <c r="S27" s="38">
        <f>IF(J27&lt;6,VLOOKUP(C27,Parametros!$B$11:$I$13,8,0)*Planilla!J27,VLOOKUP(C27,Parametros!$B$11:$I$13,8,0)*J27+VLOOKUP(C27,Parametros!$B$11:$I$13,8,0))</f>
        <v>25.6</v>
      </c>
      <c r="T27" s="38">
        <f>K27*VLOOKUP(C27,Parametros!$B$11:$K$13,9,0)</f>
        <v>0</v>
      </c>
      <c r="U27" s="38">
        <f>L27*VLOOKUP(C27,Parametros!$B$11:$L$13,10,0)</f>
        <v>0</v>
      </c>
      <c r="V27" s="38">
        <f t="shared" si="6"/>
        <v>256.32</v>
      </c>
      <c r="W27" s="38">
        <f t="shared" si="0"/>
        <v>210.56</v>
      </c>
      <c r="X27" s="38">
        <f>IF(H27="S.N.P.",W27*Parametros!$F$19,0)</f>
        <v>27.3728</v>
      </c>
      <c r="Y27" s="38">
        <f>VLOOKUP(H27,Parametros!$B$19:$G$23,2,0)*W27</f>
        <v>0</v>
      </c>
      <c r="Z27" s="38">
        <f>VLOOKUP(H27,Parametros!$B$19:$G$23,3,0)*W27</f>
        <v>0</v>
      </c>
      <c r="AA27" s="38">
        <f>VLOOKUP(H27,Parametros!$B$19:$G$23,4,0)*W27</f>
        <v>0</v>
      </c>
      <c r="AB27" s="38">
        <f t="shared" si="1"/>
        <v>3.14</v>
      </c>
      <c r="AC27" s="38">
        <v>0</v>
      </c>
      <c r="AD27" s="38">
        <v>0</v>
      </c>
      <c r="AE27" s="38">
        <f t="shared" si="2"/>
        <v>30.512800000000002</v>
      </c>
      <c r="AF27" s="38">
        <f t="shared" si="3"/>
        <v>225.8072</v>
      </c>
      <c r="AG27" s="37">
        <f t="shared" si="4"/>
        <v>18.95</v>
      </c>
      <c r="AH27" s="38">
        <f t="shared" si="5"/>
        <v>3.26</v>
      </c>
      <c r="AI27" s="37"/>
    </row>
    <row r="28" spans="1:35" s="7" customFormat="1" ht="15">
      <c r="A28" s="8">
        <v>19</v>
      </c>
      <c r="B28" s="1" t="s">
        <v>81</v>
      </c>
      <c r="C28" s="31" t="s">
        <v>12</v>
      </c>
      <c r="D28" s="32" t="s">
        <v>127</v>
      </c>
      <c r="E28" s="33">
        <v>32874</v>
      </c>
      <c r="F28" s="33">
        <v>40600</v>
      </c>
      <c r="G28" s="33">
        <v>40621</v>
      </c>
      <c r="H28" s="33" t="s">
        <v>11</v>
      </c>
      <c r="I28" s="33"/>
      <c r="J28" s="35">
        <v>4</v>
      </c>
      <c r="K28" s="35"/>
      <c r="L28" s="35"/>
      <c r="M28" s="36">
        <f>IF(C28="","",VLOOKUP(C28,Parametros!$B$11:$C$13,2,0)*J28)</f>
        <v>134.4</v>
      </c>
      <c r="N28" s="37">
        <f>IF(C28="","",VLOOKUP(C28,Parametros!$B$11:$D$13,3,0)*J28*VLOOKUP(C28,Parametros!$B$11:$C$13,2,0))</f>
        <v>40.32</v>
      </c>
      <c r="O28" s="38">
        <f>+VLOOKUP(C28,Parametros!$B$11:$E$13,4,0)*J28</f>
        <v>0</v>
      </c>
      <c r="P28" s="38">
        <f>+IF(C28="","",VLOOKUP(C28,Parametros!$B$11:$F$13,5,0)*J28)</f>
        <v>22.4</v>
      </c>
      <c r="Q28" s="38">
        <f>+IF(C28="","",VLOOKUP(C28,Parametros!$B$11:$G$13,6,0)*J28)</f>
        <v>13.44</v>
      </c>
      <c r="R28" s="37">
        <f>+IF(C28="","",VLOOKUP(C28,Parametros!$B$11:$H$13,7,0)*J28)</f>
        <v>20.16</v>
      </c>
      <c r="S28" s="38">
        <f>IF(J28&lt;6,VLOOKUP(C28,Parametros!$B$11:$I$13,8,0)*Planilla!J28,VLOOKUP(C28,Parametros!$B$11:$I$13,8,0)*J28+VLOOKUP(C28,Parametros!$B$11:$I$13,8,0))</f>
        <v>25.6</v>
      </c>
      <c r="T28" s="38">
        <f>K28*VLOOKUP(C28,Parametros!$B$11:$K$13,9,0)</f>
        <v>0</v>
      </c>
      <c r="U28" s="38">
        <f>L28*VLOOKUP(C28,Parametros!$B$11:$L$13,10,0)</f>
        <v>0</v>
      </c>
      <c r="V28" s="38">
        <f t="shared" si="6"/>
        <v>256.32</v>
      </c>
      <c r="W28" s="38">
        <f t="shared" si="0"/>
        <v>210.56</v>
      </c>
      <c r="X28" s="38">
        <f>IF(H28="S.N.P.",W28*Parametros!$F$19,0)</f>
        <v>27.3728</v>
      </c>
      <c r="Y28" s="38">
        <f>VLOOKUP(H28,Parametros!$B$19:$G$23,2,0)*W28</f>
        <v>0</v>
      </c>
      <c r="Z28" s="38">
        <f>VLOOKUP(H28,Parametros!$B$19:$G$23,3,0)*W28</f>
        <v>0</v>
      </c>
      <c r="AA28" s="38">
        <f>VLOOKUP(H28,Parametros!$B$19:$G$23,4,0)*W28</f>
        <v>0</v>
      </c>
      <c r="AB28" s="38">
        <f t="shared" si="1"/>
        <v>3.14</v>
      </c>
      <c r="AC28" s="38">
        <v>0</v>
      </c>
      <c r="AD28" s="38">
        <v>0</v>
      </c>
      <c r="AE28" s="38">
        <f t="shared" si="2"/>
        <v>30.512800000000002</v>
      </c>
      <c r="AF28" s="38">
        <f t="shared" si="3"/>
        <v>225.8072</v>
      </c>
      <c r="AG28" s="37">
        <f t="shared" si="4"/>
        <v>18.95</v>
      </c>
      <c r="AH28" s="38">
        <f t="shared" si="5"/>
        <v>3.26</v>
      </c>
      <c r="AI28" s="37"/>
    </row>
    <row r="29" spans="1:35" s="7" customFormat="1" ht="15">
      <c r="A29" s="8">
        <v>20</v>
      </c>
      <c r="B29" s="1" t="s">
        <v>82</v>
      </c>
      <c r="C29" s="31" t="s">
        <v>10</v>
      </c>
      <c r="D29" s="32" t="s">
        <v>128</v>
      </c>
      <c r="E29" s="33">
        <v>27344</v>
      </c>
      <c r="F29" s="33">
        <v>40602</v>
      </c>
      <c r="G29" s="33">
        <v>40621</v>
      </c>
      <c r="H29" s="33" t="s">
        <v>11</v>
      </c>
      <c r="I29" s="33"/>
      <c r="J29" s="35">
        <v>3</v>
      </c>
      <c r="K29" s="35"/>
      <c r="L29" s="35"/>
      <c r="M29" s="36">
        <f>IF(C29="","",VLOOKUP(C29,Parametros!$B$11:$C$13,2,0)*J29)</f>
        <v>128.39999999999998</v>
      </c>
      <c r="N29" s="37">
        <f>IF(C29="","",VLOOKUP(C29,Parametros!$B$11:$D$13,3,0)*J29*VLOOKUP(C29,Parametros!$B$11:$C$13,2,0))</f>
        <v>41.087999999999994</v>
      </c>
      <c r="O29" s="38">
        <f>+VLOOKUP(C29,Parametros!$B$11:$E$13,4,0)*J29</f>
        <v>0</v>
      </c>
      <c r="P29" s="38">
        <f>+IF(C29="","",VLOOKUP(C29,Parametros!$B$11:$F$13,5,0)*J29)</f>
        <v>21.39</v>
      </c>
      <c r="Q29" s="38">
        <f>+IF(C29="","",VLOOKUP(C29,Parametros!$B$11:$G$13,6,0)*J29)</f>
        <v>12.84</v>
      </c>
      <c r="R29" s="37">
        <f>+IF(C29="","",VLOOKUP(C29,Parametros!$B$11:$H$13,7,0)*J29)</f>
        <v>19.259999999999998</v>
      </c>
      <c r="S29" s="38">
        <f>IF(J29&lt;6,VLOOKUP(C29,Parametros!$B$11:$I$13,8,0)*Planilla!J29,VLOOKUP(C29,Parametros!$B$11:$I$13,8,0)*J29+VLOOKUP(C29,Parametros!$B$11:$I$13,8,0))</f>
        <v>24.450000000000003</v>
      </c>
      <c r="T29" s="38">
        <f>K29*VLOOKUP(C29,Parametros!$B$11:$K$13,9,0)</f>
        <v>0</v>
      </c>
      <c r="U29" s="38">
        <f>L29*VLOOKUP(C29,Parametros!$B$11:$L$13,10,0)</f>
        <v>0</v>
      </c>
      <c r="V29" s="38">
        <f t="shared" si="6"/>
        <v>247.428</v>
      </c>
      <c r="W29" s="38">
        <f t="shared" si="0"/>
        <v>203.718</v>
      </c>
      <c r="X29" s="38">
        <f>IF(H29="S.N.P.",W29*Parametros!$F$19,0)</f>
        <v>26.48334</v>
      </c>
      <c r="Y29" s="38">
        <f>VLOOKUP(H29,Parametros!$B$19:$G$23,2,0)*W29</f>
        <v>0</v>
      </c>
      <c r="Z29" s="38">
        <f>VLOOKUP(H29,Parametros!$B$19:$G$23,3,0)*W29</f>
        <v>0</v>
      </c>
      <c r="AA29" s="38">
        <f>VLOOKUP(H29,Parametros!$B$19:$G$23,4,0)*W29</f>
        <v>0</v>
      </c>
      <c r="AB29" s="38">
        <f t="shared" si="1"/>
        <v>3</v>
      </c>
      <c r="AC29" s="38">
        <v>0</v>
      </c>
      <c r="AD29" s="38">
        <v>0</v>
      </c>
      <c r="AE29" s="38">
        <f t="shared" si="2"/>
        <v>29.48334</v>
      </c>
      <c r="AF29" s="38">
        <f t="shared" si="3"/>
        <v>217.94466</v>
      </c>
      <c r="AG29" s="37">
        <f t="shared" si="4"/>
        <v>18.33</v>
      </c>
      <c r="AH29" s="38">
        <f t="shared" si="5"/>
        <v>3.16</v>
      </c>
      <c r="AI29" s="37"/>
    </row>
    <row r="30" spans="1:35" s="7" customFormat="1" ht="15">
      <c r="A30" s="8">
        <v>21</v>
      </c>
      <c r="B30" s="1" t="s">
        <v>83</v>
      </c>
      <c r="C30" s="31" t="s">
        <v>12</v>
      </c>
      <c r="D30" s="32" t="s">
        <v>129</v>
      </c>
      <c r="E30" s="33">
        <v>27344</v>
      </c>
      <c r="F30" s="33">
        <v>40602</v>
      </c>
      <c r="G30" s="33">
        <v>40621</v>
      </c>
      <c r="H30" s="33" t="s">
        <v>11</v>
      </c>
      <c r="I30" s="33"/>
      <c r="J30" s="35">
        <v>3</v>
      </c>
      <c r="K30" s="35"/>
      <c r="L30" s="35"/>
      <c r="M30" s="36">
        <f>IF(C30="","",VLOOKUP(C30,Parametros!$B$11:$C$13,2,0)*J30)</f>
        <v>100.80000000000001</v>
      </c>
      <c r="N30" s="37">
        <f>IF(C30="","",VLOOKUP(C30,Parametros!$B$11:$D$13,3,0)*J30*VLOOKUP(C30,Parametros!$B$11:$C$13,2,0))</f>
        <v>30.24</v>
      </c>
      <c r="O30" s="38">
        <f>+VLOOKUP(C30,Parametros!$B$11:$E$13,4,0)*J30</f>
        <v>0</v>
      </c>
      <c r="P30" s="38">
        <f>+IF(C30="","",VLOOKUP(C30,Parametros!$B$11:$F$13,5,0)*J30)</f>
        <v>16.799999999999997</v>
      </c>
      <c r="Q30" s="38">
        <f>+IF(C30="","",VLOOKUP(C30,Parametros!$B$11:$G$13,6,0)*J30)</f>
        <v>10.08</v>
      </c>
      <c r="R30" s="37">
        <f>+IF(C30="","",VLOOKUP(C30,Parametros!$B$11:$H$13,7,0)*J30)</f>
        <v>15.120000000000001</v>
      </c>
      <c r="S30" s="38">
        <f>IF(J30&lt;6,VLOOKUP(C30,Parametros!$B$11:$I$13,8,0)*Planilla!J30,VLOOKUP(C30,Parametros!$B$11:$I$13,8,0)*J30+VLOOKUP(C30,Parametros!$B$11:$I$13,8,0))</f>
        <v>19.200000000000003</v>
      </c>
      <c r="T30" s="38">
        <f>K30*VLOOKUP(C30,Parametros!$B$11:$K$13,9,0)</f>
        <v>0</v>
      </c>
      <c r="U30" s="38">
        <f>L30*VLOOKUP(C30,Parametros!$B$11:$L$13,10,0)</f>
        <v>0</v>
      </c>
      <c r="V30" s="38">
        <f t="shared" si="6"/>
        <v>192.24000000000007</v>
      </c>
      <c r="W30" s="38">
        <f t="shared" si="0"/>
        <v>157.92000000000004</v>
      </c>
      <c r="X30" s="38">
        <f>IF(H30="S.N.P.",W30*Parametros!$F$19,0)</f>
        <v>20.529600000000006</v>
      </c>
      <c r="Y30" s="38">
        <f>VLOOKUP(H30,Parametros!$B$19:$G$23,2,0)*W30</f>
        <v>0</v>
      </c>
      <c r="Z30" s="38">
        <f>VLOOKUP(H30,Parametros!$B$19:$G$23,3,0)*W30</f>
        <v>0</v>
      </c>
      <c r="AA30" s="38">
        <f>VLOOKUP(H30,Parametros!$B$19:$G$23,4,0)*W30</f>
        <v>0</v>
      </c>
      <c r="AB30" s="38">
        <f t="shared" si="1"/>
        <v>2.35</v>
      </c>
      <c r="AC30" s="38">
        <v>0</v>
      </c>
      <c r="AD30" s="38">
        <v>0</v>
      </c>
      <c r="AE30" s="38">
        <f t="shared" si="2"/>
        <v>22.879600000000007</v>
      </c>
      <c r="AF30" s="38">
        <f t="shared" si="3"/>
        <v>169.36040000000006</v>
      </c>
      <c r="AG30" s="37">
        <f t="shared" si="4"/>
        <v>14.21</v>
      </c>
      <c r="AH30" s="38">
        <f t="shared" si="5"/>
        <v>2.45</v>
      </c>
      <c r="AI30" s="37"/>
    </row>
    <row r="31" spans="1:35" s="7" customFormat="1" ht="15">
      <c r="A31" s="8">
        <v>22</v>
      </c>
      <c r="B31" s="1" t="s">
        <v>84</v>
      </c>
      <c r="C31" s="31" t="s">
        <v>10</v>
      </c>
      <c r="D31" s="32" t="s">
        <v>130</v>
      </c>
      <c r="E31" s="33">
        <v>27344</v>
      </c>
      <c r="F31" s="33"/>
      <c r="G31" s="33">
        <v>40621</v>
      </c>
      <c r="H31" s="33" t="s">
        <v>11</v>
      </c>
      <c r="I31" s="33"/>
      <c r="J31" s="35">
        <v>4</v>
      </c>
      <c r="K31" s="35">
        <v>4</v>
      </c>
      <c r="L31" s="35"/>
      <c r="M31" s="36">
        <f>IF(C31="","",VLOOKUP(C31,Parametros!$B$11:$C$13,2,0)*J31)</f>
        <v>171.2</v>
      </c>
      <c r="N31" s="37">
        <f>IF(C31="","",VLOOKUP(C31,Parametros!$B$11:$D$13,3,0)*J31*VLOOKUP(C31,Parametros!$B$11:$C$13,2,0))</f>
        <v>54.784</v>
      </c>
      <c r="O31" s="38">
        <f>+VLOOKUP(C31,Parametros!$B$11:$E$13,4,0)*J31</f>
        <v>0</v>
      </c>
      <c r="P31" s="38">
        <f>+IF(C31="","",VLOOKUP(C31,Parametros!$B$11:$F$13,5,0)*J31)</f>
        <v>28.52</v>
      </c>
      <c r="Q31" s="38">
        <f>+IF(C31="","",VLOOKUP(C31,Parametros!$B$11:$G$13,6,0)*J31)</f>
        <v>17.12</v>
      </c>
      <c r="R31" s="37">
        <f>+IF(C31="","",VLOOKUP(C31,Parametros!$B$11:$H$13,7,0)*J31)</f>
        <v>25.68</v>
      </c>
      <c r="S31" s="38">
        <f>IF(J31&lt;6,VLOOKUP(C31,Parametros!$B$11:$I$13,8,0)*Planilla!J31,VLOOKUP(C31,Parametros!$B$11:$I$13,8,0)*J31+VLOOKUP(C31,Parametros!$B$11:$I$13,8,0))</f>
        <v>32.6</v>
      </c>
      <c r="T31" s="38">
        <f>K31*VLOOKUP(C31,Parametros!$B$11:$K$13,9,0)</f>
        <v>34.24</v>
      </c>
      <c r="U31" s="38">
        <f>L31*VLOOKUP(C31,Parametros!$B$11:$L$13,10,0)</f>
        <v>0</v>
      </c>
      <c r="V31" s="38">
        <f t="shared" si="6"/>
        <v>364.144</v>
      </c>
      <c r="W31" s="38">
        <f t="shared" si="0"/>
        <v>305.864</v>
      </c>
      <c r="X31" s="38">
        <f>IF(H31="S.N.P.",W31*Parametros!$F$19,0)</f>
        <v>39.762319999999995</v>
      </c>
      <c r="Y31" s="38">
        <f>VLOOKUP(H31,Parametros!$B$19:$G$23,2,0)*W31</f>
        <v>0</v>
      </c>
      <c r="Z31" s="38">
        <f>VLOOKUP(H31,Parametros!$B$19:$G$23,3,0)*W31</f>
        <v>0</v>
      </c>
      <c r="AA31" s="38">
        <f>VLOOKUP(H31,Parametros!$B$19:$G$23,4,0)*W31</f>
        <v>0</v>
      </c>
      <c r="AB31" s="38">
        <f t="shared" si="1"/>
        <v>3.99</v>
      </c>
      <c r="AC31" s="38">
        <v>0</v>
      </c>
      <c r="AD31" s="38">
        <v>0</v>
      </c>
      <c r="AE31" s="38">
        <f t="shared" si="2"/>
        <v>43.75232</v>
      </c>
      <c r="AF31" s="38">
        <f t="shared" si="3"/>
        <v>320.39168</v>
      </c>
      <c r="AG31" s="37">
        <f t="shared" si="4"/>
        <v>27.53</v>
      </c>
      <c r="AH31" s="38">
        <f t="shared" si="5"/>
        <v>4.74</v>
      </c>
      <c r="AI31" s="37"/>
    </row>
    <row r="32" spans="1:35" s="7" customFormat="1" ht="15">
      <c r="A32" s="8">
        <v>23</v>
      </c>
      <c r="B32" s="1" t="s">
        <v>85</v>
      </c>
      <c r="C32" s="31" t="s">
        <v>12</v>
      </c>
      <c r="D32" s="32" t="s">
        <v>131</v>
      </c>
      <c r="E32" s="33">
        <v>26671</v>
      </c>
      <c r="F32" s="33">
        <v>40568</v>
      </c>
      <c r="G32" s="33">
        <v>40621</v>
      </c>
      <c r="H32" s="33" t="s">
        <v>11</v>
      </c>
      <c r="I32" s="33"/>
      <c r="J32" s="35">
        <v>3</v>
      </c>
      <c r="K32" s="35"/>
      <c r="L32" s="35"/>
      <c r="M32" s="36">
        <f>IF(C32="","",VLOOKUP(C32,Parametros!$B$11:$C$13,2,0)*J32)</f>
        <v>100.80000000000001</v>
      </c>
      <c r="N32" s="37">
        <f>IF(C32="","",VLOOKUP(C32,Parametros!$B$11:$D$13,3,0)*J32*VLOOKUP(C32,Parametros!$B$11:$C$13,2,0))</f>
        <v>30.24</v>
      </c>
      <c r="O32" s="38">
        <f>+VLOOKUP(C32,Parametros!$B$11:$E$13,4,0)*J32</f>
        <v>0</v>
      </c>
      <c r="P32" s="38">
        <f>+IF(C32="","",VLOOKUP(C32,Parametros!$B$11:$F$13,5,0)*J32)</f>
        <v>16.799999999999997</v>
      </c>
      <c r="Q32" s="38">
        <f>+IF(C32="","",VLOOKUP(C32,Parametros!$B$11:$G$13,6,0)*J32)</f>
        <v>10.08</v>
      </c>
      <c r="R32" s="37">
        <f>+IF(C32="","",VLOOKUP(C32,Parametros!$B$11:$H$13,7,0)*J32)</f>
        <v>15.120000000000001</v>
      </c>
      <c r="S32" s="38">
        <f>IF(J32&lt;6,VLOOKUP(C32,Parametros!$B$11:$I$13,8,0)*Planilla!J32,VLOOKUP(C32,Parametros!$B$11:$I$13,8,0)*J32+VLOOKUP(C32,Parametros!$B$11:$I$13,8,0))</f>
        <v>19.200000000000003</v>
      </c>
      <c r="T32" s="38">
        <f>K32*VLOOKUP(C32,Parametros!$B$11:$K$13,9,0)</f>
        <v>0</v>
      </c>
      <c r="U32" s="38">
        <f>L32*VLOOKUP(C32,Parametros!$B$11:$L$13,10,0)</f>
        <v>0</v>
      </c>
      <c r="V32" s="38">
        <f t="shared" si="6"/>
        <v>192.24000000000007</v>
      </c>
      <c r="W32" s="38">
        <f t="shared" si="0"/>
        <v>157.92000000000004</v>
      </c>
      <c r="X32" s="38">
        <f>IF(H32="S.N.P.",W32*Parametros!$F$19,0)</f>
        <v>20.529600000000006</v>
      </c>
      <c r="Y32" s="38">
        <f>VLOOKUP(H32,Parametros!$B$19:$G$23,2,0)*W32</f>
        <v>0</v>
      </c>
      <c r="Z32" s="38">
        <f>VLOOKUP(H32,Parametros!$B$19:$G$23,3,0)*W32</f>
        <v>0</v>
      </c>
      <c r="AA32" s="38">
        <f>VLOOKUP(H32,Parametros!$B$19:$G$23,4,0)*W32</f>
        <v>0</v>
      </c>
      <c r="AB32" s="38">
        <f t="shared" si="1"/>
        <v>2.35</v>
      </c>
      <c r="AC32" s="38">
        <v>0</v>
      </c>
      <c r="AD32" s="38">
        <v>0</v>
      </c>
      <c r="AE32" s="38">
        <f t="shared" si="2"/>
        <v>22.879600000000007</v>
      </c>
      <c r="AF32" s="38">
        <f t="shared" si="3"/>
        <v>169.36040000000006</v>
      </c>
      <c r="AG32" s="37">
        <f t="shared" si="4"/>
        <v>14.21</v>
      </c>
      <c r="AH32" s="38">
        <f t="shared" si="5"/>
        <v>2.45</v>
      </c>
      <c r="AI32" s="37"/>
    </row>
    <row r="33" spans="1:35" s="7" customFormat="1" ht="15">
      <c r="A33" s="8">
        <v>24</v>
      </c>
      <c r="B33" s="1" t="s">
        <v>86</v>
      </c>
      <c r="C33" s="31" t="s">
        <v>12</v>
      </c>
      <c r="D33" s="32" t="s">
        <v>132</v>
      </c>
      <c r="E33" s="33">
        <v>26671</v>
      </c>
      <c r="F33" s="33">
        <v>40599</v>
      </c>
      <c r="G33" s="33">
        <v>40621</v>
      </c>
      <c r="H33" s="33" t="s">
        <v>11</v>
      </c>
      <c r="I33" s="33"/>
      <c r="J33" s="35">
        <v>3</v>
      </c>
      <c r="K33" s="35"/>
      <c r="L33" s="35"/>
      <c r="M33" s="36">
        <f>IF(C33="","",VLOOKUP(C33,Parametros!$B$11:$C$13,2,0)*J33)</f>
        <v>100.80000000000001</v>
      </c>
      <c r="N33" s="37">
        <f>IF(C33="","",VLOOKUP(C33,Parametros!$B$11:$D$13,3,0)*J33*VLOOKUP(C33,Parametros!$B$11:$C$13,2,0))</f>
        <v>30.24</v>
      </c>
      <c r="O33" s="38">
        <f>+VLOOKUP(C33,Parametros!$B$11:$E$13,4,0)*J33</f>
        <v>0</v>
      </c>
      <c r="P33" s="38">
        <f>+IF(C33="","",VLOOKUP(C33,Parametros!$B$11:$F$13,5,0)*J33)</f>
        <v>16.799999999999997</v>
      </c>
      <c r="Q33" s="38">
        <f>+IF(C33="","",VLOOKUP(C33,Parametros!$B$11:$G$13,6,0)*J33)</f>
        <v>10.08</v>
      </c>
      <c r="R33" s="37">
        <f>+IF(C33="","",VLOOKUP(C33,Parametros!$B$11:$H$13,7,0)*J33)</f>
        <v>15.120000000000001</v>
      </c>
      <c r="S33" s="38">
        <f>IF(J33&lt;6,VLOOKUP(C33,Parametros!$B$11:$I$13,8,0)*Planilla!J33,VLOOKUP(C33,Parametros!$B$11:$I$13,8,0)*J33+VLOOKUP(C33,Parametros!$B$11:$I$13,8,0))</f>
        <v>19.200000000000003</v>
      </c>
      <c r="T33" s="38">
        <f>K33*VLOOKUP(C33,Parametros!$B$11:$K$13,9,0)</f>
        <v>0</v>
      </c>
      <c r="U33" s="38">
        <f>L33*VLOOKUP(C33,Parametros!$B$11:$L$13,10,0)</f>
        <v>0</v>
      </c>
      <c r="V33" s="38">
        <f t="shared" si="6"/>
        <v>192.24000000000007</v>
      </c>
      <c r="W33" s="38">
        <f t="shared" si="0"/>
        <v>157.92000000000004</v>
      </c>
      <c r="X33" s="38">
        <f>IF(H33="S.N.P.",W33*Parametros!$F$19,0)</f>
        <v>20.529600000000006</v>
      </c>
      <c r="Y33" s="38">
        <f>VLOOKUP(H33,Parametros!$B$19:$G$23,2,0)*W33</f>
        <v>0</v>
      </c>
      <c r="Z33" s="38">
        <f>VLOOKUP(H33,Parametros!$B$19:$G$23,3,0)*W33</f>
        <v>0</v>
      </c>
      <c r="AA33" s="38">
        <f>VLOOKUP(H33,Parametros!$B$19:$G$23,4,0)*W33</f>
        <v>0</v>
      </c>
      <c r="AB33" s="38">
        <f t="shared" si="1"/>
        <v>2.35</v>
      </c>
      <c r="AC33" s="38">
        <v>0</v>
      </c>
      <c r="AD33" s="38">
        <v>0</v>
      </c>
      <c r="AE33" s="38">
        <f t="shared" si="2"/>
        <v>22.879600000000007</v>
      </c>
      <c r="AF33" s="38">
        <f t="shared" si="3"/>
        <v>169.36040000000006</v>
      </c>
      <c r="AG33" s="37">
        <f t="shared" si="4"/>
        <v>14.21</v>
      </c>
      <c r="AH33" s="38">
        <f t="shared" si="5"/>
        <v>2.45</v>
      </c>
      <c r="AI33" s="37"/>
    </row>
    <row r="34" spans="1:35" s="7" customFormat="1" ht="15">
      <c r="A34" s="8">
        <v>25</v>
      </c>
      <c r="B34" s="1" t="s">
        <v>87</v>
      </c>
      <c r="C34" s="31" t="s">
        <v>12</v>
      </c>
      <c r="D34" s="32" t="s">
        <v>133</v>
      </c>
      <c r="E34" s="33">
        <v>29306</v>
      </c>
      <c r="F34" s="33">
        <v>40802</v>
      </c>
      <c r="G34" s="33">
        <v>40621</v>
      </c>
      <c r="H34" s="34" t="s">
        <v>11</v>
      </c>
      <c r="I34" s="33"/>
      <c r="J34" s="35">
        <v>6</v>
      </c>
      <c r="K34" s="35"/>
      <c r="L34" s="35"/>
      <c r="M34" s="36">
        <f>IF(C34="","",VLOOKUP(C34,Parametros!$B$11:$C$13,2,0)*J34)</f>
        <v>201.60000000000002</v>
      </c>
      <c r="N34" s="37">
        <f>IF(C34="","",VLOOKUP(C34,Parametros!$B$11:$D$13,3,0)*J34*VLOOKUP(C34,Parametros!$B$11:$C$13,2,0))</f>
        <v>60.48</v>
      </c>
      <c r="O34" s="38">
        <f>+VLOOKUP(C34,Parametros!$B$11:$E$13,4,0)*J34</f>
        <v>0</v>
      </c>
      <c r="P34" s="38">
        <f>+IF(C34="","",VLOOKUP(C34,Parametros!$B$11:$F$13,5,0)*J34)</f>
        <v>33.599999999999994</v>
      </c>
      <c r="Q34" s="38">
        <f>+IF(C34="","",VLOOKUP(C34,Parametros!$B$11:$G$13,6,0)*J34)</f>
        <v>20.16</v>
      </c>
      <c r="R34" s="37">
        <f>+IF(C34="","",VLOOKUP(C34,Parametros!$B$11:$H$13,7,0)*J34)</f>
        <v>30.240000000000002</v>
      </c>
      <c r="S34" s="38">
        <f>IF(J34&lt;6,VLOOKUP(C34,Parametros!$B$11:$I$13,8,0)*Planilla!J34,VLOOKUP(C34,Parametros!$B$11:$I$13,8,0)*J34+VLOOKUP(C34,Parametros!$B$11:$I$13,8,0))</f>
        <v>44.800000000000004</v>
      </c>
      <c r="T34" s="38">
        <f>K34*VLOOKUP(C34,Parametros!$B$11:$K$13,9,0)</f>
        <v>0</v>
      </c>
      <c r="U34" s="38">
        <f>L34*VLOOKUP(C34,Parametros!$B$11:$L$13,10,0)</f>
        <v>0</v>
      </c>
      <c r="V34" s="38">
        <f t="shared" si="6"/>
        <v>390.8800000000001</v>
      </c>
      <c r="W34" s="38">
        <f t="shared" si="0"/>
        <v>315.8400000000001</v>
      </c>
      <c r="X34" s="38">
        <f>IF(H34="S.N.P.",W34*Parametros!$F$19,0)</f>
        <v>41.05920000000001</v>
      </c>
      <c r="Y34" s="38">
        <f>VLOOKUP(H34,Parametros!$B$19:$G$23,2,0)*W34</f>
        <v>0</v>
      </c>
      <c r="Z34" s="38">
        <f>VLOOKUP(H34,Parametros!$B$19:$G$23,3,0)*W34</f>
        <v>0</v>
      </c>
      <c r="AA34" s="38">
        <f>VLOOKUP(H34,Parametros!$B$19:$G$23,4,0)*W34</f>
        <v>0</v>
      </c>
      <c r="AB34" s="38">
        <f t="shared" si="1"/>
        <v>4.7</v>
      </c>
      <c r="AC34" s="38">
        <v>0</v>
      </c>
      <c r="AD34" s="38">
        <v>0</v>
      </c>
      <c r="AE34" s="38">
        <f t="shared" si="2"/>
        <v>45.759200000000014</v>
      </c>
      <c r="AF34" s="38">
        <f t="shared" si="3"/>
        <v>345.1208000000001</v>
      </c>
      <c r="AG34" s="37">
        <f t="shared" si="4"/>
        <v>28.43</v>
      </c>
      <c r="AH34" s="38">
        <f t="shared" si="5"/>
        <v>4.9</v>
      </c>
      <c r="AI34" s="37"/>
    </row>
    <row r="35" spans="1:35" s="7" customFormat="1" ht="15">
      <c r="A35" s="8">
        <v>26</v>
      </c>
      <c r="B35" s="1" t="s">
        <v>88</v>
      </c>
      <c r="C35" s="31" t="s">
        <v>12</v>
      </c>
      <c r="D35" s="32" t="s">
        <v>134</v>
      </c>
      <c r="E35" s="33">
        <v>28322</v>
      </c>
      <c r="F35" s="33">
        <v>40598</v>
      </c>
      <c r="G35" s="33">
        <v>40621</v>
      </c>
      <c r="H35" s="33" t="s">
        <v>11</v>
      </c>
      <c r="I35" s="33"/>
      <c r="J35" s="35">
        <v>4</v>
      </c>
      <c r="K35" s="35"/>
      <c r="L35" s="35"/>
      <c r="M35" s="36">
        <f>IF(C35="","",VLOOKUP(C35,Parametros!$B$11:$C$13,2,0)*J35)</f>
        <v>134.4</v>
      </c>
      <c r="N35" s="37">
        <f>IF(C35="","",VLOOKUP(C35,Parametros!$B$11:$D$13,3,0)*J35*VLOOKUP(C35,Parametros!$B$11:$C$13,2,0))</f>
        <v>40.32</v>
      </c>
      <c r="O35" s="38">
        <f>+VLOOKUP(C35,Parametros!$B$11:$E$13,4,0)*J35</f>
        <v>0</v>
      </c>
      <c r="P35" s="38">
        <f>+IF(C35="","",VLOOKUP(C35,Parametros!$B$11:$F$13,5,0)*J35)</f>
        <v>22.4</v>
      </c>
      <c r="Q35" s="38">
        <f>+IF(C35="","",VLOOKUP(C35,Parametros!$B$11:$G$13,6,0)*J35)</f>
        <v>13.44</v>
      </c>
      <c r="R35" s="37">
        <f>+IF(C35="","",VLOOKUP(C35,Parametros!$B$11:$H$13,7,0)*J35)</f>
        <v>20.16</v>
      </c>
      <c r="S35" s="38">
        <f>IF(J35&lt;6,VLOOKUP(C35,Parametros!$B$11:$I$13,8,0)*Planilla!J35,VLOOKUP(C35,Parametros!$B$11:$I$13,8,0)*J35+VLOOKUP(C35,Parametros!$B$11:$I$13,8,0))</f>
        <v>25.6</v>
      </c>
      <c r="T35" s="38">
        <f>K35*VLOOKUP(C35,Parametros!$B$11:$K$13,9,0)</f>
        <v>0</v>
      </c>
      <c r="U35" s="38">
        <f>L35*VLOOKUP(C35,Parametros!$B$11:$L$13,10,0)</f>
        <v>0</v>
      </c>
      <c r="V35" s="38">
        <f t="shared" si="6"/>
        <v>256.32</v>
      </c>
      <c r="W35" s="38">
        <f t="shared" si="0"/>
        <v>210.56</v>
      </c>
      <c r="X35" s="38">
        <f>IF(H35="S.N.P.",W35*Parametros!$F$19,0)</f>
        <v>27.3728</v>
      </c>
      <c r="Y35" s="38">
        <f>VLOOKUP(H35,Parametros!$B$19:$G$23,2,0)*W35</f>
        <v>0</v>
      </c>
      <c r="Z35" s="38">
        <f>VLOOKUP(H35,Parametros!$B$19:$G$23,3,0)*W35</f>
        <v>0</v>
      </c>
      <c r="AA35" s="38">
        <f>VLOOKUP(H35,Parametros!$B$19:$G$23,4,0)*W35</f>
        <v>0</v>
      </c>
      <c r="AB35" s="38">
        <f t="shared" si="1"/>
        <v>3.14</v>
      </c>
      <c r="AC35" s="38">
        <v>0</v>
      </c>
      <c r="AD35" s="38">
        <v>0</v>
      </c>
      <c r="AE35" s="38">
        <f t="shared" si="2"/>
        <v>30.512800000000002</v>
      </c>
      <c r="AF35" s="38">
        <f t="shared" si="3"/>
        <v>225.8072</v>
      </c>
      <c r="AG35" s="37">
        <f t="shared" si="4"/>
        <v>18.95</v>
      </c>
      <c r="AH35" s="38">
        <f t="shared" si="5"/>
        <v>3.26</v>
      </c>
      <c r="AI35" s="37"/>
    </row>
    <row r="36" spans="1:35" s="7" customFormat="1" ht="15">
      <c r="A36" s="8">
        <v>27</v>
      </c>
      <c r="B36" s="1" t="s">
        <v>89</v>
      </c>
      <c r="C36" s="31" t="s">
        <v>13</v>
      </c>
      <c r="D36" s="32" t="s">
        <v>135</v>
      </c>
      <c r="E36" s="33">
        <v>28937</v>
      </c>
      <c r="F36" s="33">
        <v>40569</v>
      </c>
      <c r="G36" s="33">
        <v>40621</v>
      </c>
      <c r="H36" s="34" t="s">
        <v>15</v>
      </c>
      <c r="I36" s="33" t="s">
        <v>156</v>
      </c>
      <c r="J36" s="35">
        <v>4</v>
      </c>
      <c r="K36" s="35"/>
      <c r="L36" s="35"/>
      <c r="M36" s="36">
        <f>IF(C36="","",VLOOKUP(C36,Parametros!$B$11:$C$13,2,0)*J36)</f>
        <v>150</v>
      </c>
      <c r="N36" s="37">
        <f>IF(C36="","",VLOOKUP(C36,Parametros!$B$11:$D$13,3,0)*J36*VLOOKUP(C36,Parametros!$B$11:$C$13,2,0))</f>
        <v>45</v>
      </c>
      <c r="O36" s="38">
        <f>+VLOOKUP(C36,Parametros!$B$11:$E$13,4,0)*J36</f>
        <v>0</v>
      </c>
      <c r="P36" s="38">
        <f>+IF(C36="","",VLOOKUP(C36,Parametros!$B$11:$F$13,5,0)*J36)</f>
        <v>25</v>
      </c>
      <c r="Q36" s="38">
        <f>+IF(C36="","",VLOOKUP(C36,Parametros!$B$11:$G$13,6,0)*J36)</f>
        <v>15</v>
      </c>
      <c r="R36" s="37">
        <f>+IF(C36="","",VLOOKUP(C36,Parametros!$B$11:$H$13,7,0)*J36)</f>
        <v>22.52</v>
      </c>
      <c r="S36" s="38">
        <f>IF(J36&lt;6,VLOOKUP(C36,Parametros!$B$11:$I$13,8,0)*Planilla!J36,VLOOKUP(C36,Parametros!$B$11:$I$13,8,0)*J36+VLOOKUP(C36,Parametros!$B$11:$I$13,8,0))</f>
        <v>28.56</v>
      </c>
      <c r="T36" s="38">
        <f>K36*VLOOKUP(C36,Parametros!$B$11:$K$13,9,0)</f>
        <v>0</v>
      </c>
      <c r="U36" s="38">
        <f>L36*VLOOKUP(C36,Parametros!$B$11:$L$13,10,0)</f>
        <v>0</v>
      </c>
      <c r="V36" s="38">
        <f t="shared" si="6"/>
        <v>286.08</v>
      </c>
      <c r="W36" s="38">
        <f t="shared" si="0"/>
        <v>235</v>
      </c>
      <c r="X36" s="38">
        <f>IF(H36="S.N.P.",W36*Parametros!$F$19,0)</f>
        <v>0</v>
      </c>
      <c r="Y36" s="38">
        <f>VLOOKUP(H36,Parametros!$B$19:$G$23,2,0)*W36</f>
        <v>5.405</v>
      </c>
      <c r="Z36" s="38">
        <f>VLOOKUP(H36,Parametros!$B$19:$G$23,3,0)*W36</f>
        <v>2.961</v>
      </c>
      <c r="AA36" s="38">
        <f>VLOOKUP(H36,Parametros!$B$19:$G$23,4,0)*W36</f>
        <v>23.5</v>
      </c>
      <c r="AB36" s="38">
        <f t="shared" si="1"/>
        <v>3.5</v>
      </c>
      <c r="AC36" s="38">
        <v>0</v>
      </c>
      <c r="AD36" s="38">
        <v>0</v>
      </c>
      <c r="AE36" s="38">
        <f t="shared" si="2"/>
        <v>35.366</v>
      </c>
      <c r="AF36" s="38">
        <f t="shared" si="3"/>
        <v>250.714</v>
      </c>
      <c r="AG36" s="37">
        <f t="shared" si="4"/>
        <v>21.15</v>
      </c>
      <c r="AH36" s="38">
        <f t="shared" si="5"/>
        <v>3.64</v>
      </c>
      <c r="AI36" s="37"/>
    </row>
    <row r="37" spans="1:35" s="7" customFormat="1" ht="15">
      <c r="A37" s="8">
        <v>28</v>
      </c>
      <c r="B37" s="1" t="s">
        <v>90</v>
      </c>
      <c r="C37" s="31" t="s">
        <v>10</v>
      </c>
      <c r="D37" s="32" t="s">
        <v>136</v>
      </c>
      <c r="E37" s="33">
        <v>28937</v>
      </c>
      <c r="F37" s="33">
        <v>40605</v>
      </c>
      <c r="G37" s="33">
        <v>40621</v>
      </c>
      <c r="H37" s="33" t="s">
        <v>11</v>
      </c>
      <c r="I37" s="33"/>
      <c r="J37" s="35">
        <v>5</v>
      </c>
      <c r="K37" s="35">
        <v>4</v>
      </c>
      <c r="L37" s="35"/>
      <c r="M37" s="36">
        <f>IF(C37="","",VLOOKUP(C37,Parametros!$B$11:$C$13,2,0)*J37)</f>
        <v>214</v>
      </c>
      <c r="N37" s="37">
        <f>IF(C37="","",VLOOKUP(C37,Parametros!$B$11:$D$13,3,0)*J37*VLOOKUP(C37,Parametros!$B$11:$C$13,2,0))</f>
        <v>68.48</v>
      </c>
      <c r="O37" s="38">
        <f>+VLOOKUP(C37,Parametros!$B$11:$E$13,4,0)*J37</f>
        <v>0</v>
      </c>
      <c r="P37" s="38">
        <f>+IF(C37="","",VLOOKUP(C37,Parametros!$B$11:$F$13,5,0)*J37)</f>
        <v>35.65</v>
      </c>
      <c r="Q37" s="38">
        <f>+IF(C37="","",VLOOKUP(C37,Parametros!$B$11:$G$13,6,0)*J37)</f>
        <v>21.400000000000002</v>
      </c>
      <c r="R37" s="37">
        <f>+IF(C37="","",VLOOKUP(C37,Parametros!$B$11:$H$13,7,0)*J37)</f>
        <v>32.1</v>
      </c>
      <c r="S37" s="38">
        <f>IF(J37&lt;6,VLOOKUP(C37,Parametros!$B$11:$I$13,8,0)*Planilla!J37,VLOOKUP(C37,Parametros!$B$11:$I$13,8,0)*J37+VLOOKUP(C37,Parametros!$B$11:$I$13,8,0))</f>
        <v>40.75</v>
      </c>
      <c r="T37" s="38">
        <f>K37*VLOOKUP(C37,Parametros!$B$11:$K$13,9,0)</f>
        <v>34.24</v>
      </c>
      <c r="U37" s="38">
        <f>L37*VLOOKUP(C37,Parametros!$B$11:$L$13,10,0)</f>
        <v>0</v>
      </c>
      <c r="V37" s="38">
        <f t="shared" si="6"/>
        <v>446.62</v>
      </c>
      <c r="W37" s="38">
        <f t="shared" si="0"/>
        <v>373.77</v>
      </c>
      <c r="X37" s="38">
        <f>IF(H37="S.N.P.",W37*Parametros!$F$19,0)</f>
        <v>48.5901</v>
      </c>
      <c r="Y37" s="38">
        <f>VLOOKUP(H37,Parametros!$B$19:$G$23,2,0)*W37</f>
        <v>0</v>
      </c>
      <c r="Z37" s="38">
        <f>VLOOKUP(H37,Parametros!$B$19:$G$23,3,0)*W37</f>
        <v>0</v>
      </c>
      <c r="AA37" s="38">
        <f>VLOOKUP(H37,Parametros!$B$19:$G$23,4,0)*W37</f>
        <v>0</v>
      </c>
      <c r="AB37" s="38">
        <f t="shared" si="1"/>
        <v>4.99</v>
      </c>
      <c r="AC37" s="38">
        <v>0</v>
      </c>
      <c r="AD37" s="38">
        <v>0</v>
      </c>
      <c r="AE37" s="38">
        <f t="shared" si="2"/>
        <v>53.5801</v>
      </c>
      <c r="AF37" s="38">
        <f t="shared" si="3"/>
        <v>393.0399</v>
      </c>
      <c r="AG37" s="37">
        <f t="shared" si="4"/>
        <v>33.64</v>
      </c>
      <c r="AH37" s="38">
        <f t="shared" si="5"/>
        <v>5.79</v>
      </c>
      <c r="AI37" s="37"/>
    </row>
    <row r="38" spans="1:35" s="7" customFormat="1" ht="15">
      <c r="A38" s="8">
        <v>29</v>
      </c>
      <c r="B38" s="1" t="s">
        <v>91</v>
      </c>
      <c r="C38" s="31" t="s">
        <v>12</v>
      </c>
      <c r="D38" s="32" t="s">
        <v>137</v>
      </c>
      <c r="E38" s="33">
        <v>28809</v>
      </c>
      <c r="F38" s="33">
        <v>40568</v>
      </c>
      <c r="G38" s="33">
        <v>40621</v>
      </c>
      <c r="H38" s="33" t="s">
        <v>15</v>
      </c>
      <c r="I38" s="33" t="s">
        <v>157</v>
      </c>
      <c r="J38" s="35">
        <v>3</v>
      </c>
      <c r="K38" s="35"/>
      <c r="L38" s="35"/>
      <c r="M38" s="36">
        <f>IF(C38="","",VLOOKUP(C38,Parametros!$B$11:$C$13,2,0)*J38)</f>
        <v>100.80000000000001</v>
      </c>
      <c r="N38" s="37">
        <f>IF(C38="","",VLOOKUP(C38,Parametros!$B$11:$D$13,3,0)*J38*VLOOKUP(C38,Parametros!$B$11:$C$13,2,0))</f>
        <v>30.24</v>
      </c>
      <c r="O38" s="38">
        <f>+VLOOKUP(C38,Parametros!$B$11:$E$13,4,0)*J38</f>
        <v>0</v>
      </c>
      <c r="P38" s="38">
        <f>+IF(C38="","",VLOOKUP(C38,Parametros!$B$11:$F$13,5,0)*J38)</f>
        <v>16.799999999999997</v>
      </c>
      <c r="Q38" s="38">
        <f>+IF(C38="","",VLOOKUP(C38,Parametros!$B$11:$G$13,6,0)*J38)</f>
        <v>10.08</v>
      </c>
      <c r="R38" s="37">
        <f>+IF(C38="","",VLOOKUP(C38,Parametros!$B$11:$H$13,7,0)*J38)</f>
        <v>15.120000000000001</v>
      </c>
      <c r="S38" s="38">
        <f>IF(J38&lt;6,VLOOKUP(C38,Parametros!$B$11:$I$13,8,0)*Planilla!J38,VLOOKUP(C38,Parametros!$B$11:$I$13,8,0)*J38+VLOOKUP(C38,Parametros!$B$11:$I$13,8,0))</f>
        <v>19.200000000000003</v>
      </c>
      <c r="T38" s="38">
        <f>K38*VLOOKUP(C38,Parametros!$B$11:$K$13,9,0)</f>
        <v>0</v>
      </c>
      <c r="U38" s="38">
        <f>L38*VLOOKUP(C38,Parametros!$B$11:$L$13,10,0)</f>
        <v>0</v>
      </c>
      <c r="V38" s="38">
        <f t="shared" si="6"/>
        <v>192.24000000000007</v>
      </c>
      <c r="W38" s="38">
        <f t="shared" si="0"/>
        <v>157.92000000000004</v>
      </c>
      <c r="X38" s="38">
        <f>IF(H38="S.N.P.",W38*Parametros!$F$19,0)</f>
        <v>0</v>
      </c>
      <c r="Y38" s="38">
        <f>VLOOKUP(H38,Parametros!$B$19:$G$23,2,0)*W38</f>
        <v>3.632160000000001</v>
      </c>
      <c r="Z38" s="38">
        <f>VLOOKUP(H38,Parametros!$B$19:$G$23,3,0)*W38</f>
        <v>1.9897920000000007</v>
      </c>
      <c r="AA38" s="38">
        <f>VLOOKUP(H38,Parametros!$B$19:$G$23,4,0)*W38</f>
        <v>15.792000000000005</v>
      </c>
      <c r="AB38" s="38">
        <f t="shared" si="1"/>
        <v>2.35</v>
      </c>
      <c r="AC38" s="38">
        <v>0</v>
      </c>
      <c r="AD38" s="38">
        <v>0</v>
      </c>
      <c r="AE38" s="38">
        <f t="shared" si="2"/>
        <v>23.76395200000001</v>
      </c>
      <c r="AF38" s="38">
        <f t="shared" si="3"/>
        <v>168.47604800000005</v>
      </c>
      <c r="AG38" s="37">
        <f t="shared" si="4"/>
        <v>14.21</v>
      </c>
      <c r="AH38" s="38">
        <f t="shared" si="5"/>
        <v>2.45</v>
      </c>
      <c r="AI38" s="37"/>
    </row>
    <row r="39" spans="1:35" s="7" customFormat="1" ht="15">
      <c r="A39" s="8">
        <v>30</v>
      </c>
      <c r="B39" s="1" t="s">
        <v>92</v>
      </c>
      <c r="C39" s="31" t="s">
        <v>12</v>
      </c>
      <c r="D39" s="32" t="s">
        <v>138</v>
      </c>
      <c r="E39" s="33">
        <v>29665</v>
      </c>
      <c r="F39" s="33">
        <v>40568</v>
      </c>
      <c r="G39" s="33">
        <v>40621</v>
      </c>
      <c r="H39" s="33" t="s">
        <v>11</v>
      </c>
      <c r="I39" s="33"/>
      <c r="J39" s="35">
        <v>4</v>
      </c>
      <c r="K39" s="35"/>
      <c r="L39" s="35"/>
      <c r="M39" s="36">
        <f>IF(C39="","",VLOOKUP(C39,Parametros!$B$11:$C$13,2,0)*J39)</f>
        <v>134.4</v>
      </c>
      <c r="N39" s="37">
        <f>IF(C39="","",VLOOKUP(C39,Parametros!$B$11:$D$13,3,0)*J39*VLOOKUP(C39,Parametros!$B$11:$C$13,2,0))</f>
        <v>40.32</v>
      </c>
      <c r="O39" s="38">
        <f>+VLOOKUP(C39,Parametros!$B$11:$E$13,4,0)*J39</f>
        <v>0</v>
      </c>
      <c r="P39" s="38">
        <f>+IF(C39="","",VLOOKUP(C39,Parametros!$B$11:$F$13,5,0)*J39)</f>
        <v>22.4</v>
      </c>
      <c r="Q39" s="38">
        <f>+IF(C39="","",VLOOKUP(C39,Parametros!$B$11:$G$13,6,0)*J39)</f>
        <v>13.44</v>
      </c>
      <c r="R39" s="37">
        <f>+IF(C39="","",VLOOKUP(C39,Parametros!$B$11:$H$13,7,0)*J39)</f>
        <v>20.16</v>
      </c>
      <c r="S39" s="38">
        <f>IF(J39&lt;6,VLOOKUP(C39,Parametros!$B$11:$I$13,8,0)*Planilla!J39,VLOOKUP(C39,Parametros!$B$11:$I$13,8,0)*J39+VLOOKUP(C39,Parametros!$B$11:$I$13,8,0))</f>
        <v>25.6</v>
      </c>
      <c r="T39" s="38">
        <f>K39*VLOOKUP(C39,Parametros!$B$11:$K$13,9,0)</f>
        <v>0</v>
      </c>
      <c r="U39" s="38">
        <f>L39*VLOOKUP(C39,Parametros!$B$11:$L$13,10,0)</f>
        <v>0</v>
      </c>
      <c r="V39" s="38">
        <f t="shared" si="6"/>
        <v>256.32</v>
      </c>
      <c r="W39" s="38">
        <f t="shared" si="0"/>
        <v>210.56</v>
      </c>
      <c r="X39" s="38">
        <f>IF(H39="S.N.P.",W39*Parametros!$F$19,0)</f>
        <v>27.3728</v>
      </c>
      <c r="Y39" s="38">
        <f>VLOOKUP(H39,Parametros!$B$19:$G$23,2,0)*W39</f>
        <v>0</v>
      </c>
      <c r="Z39" s="38">
        <f>VLOOKUP(H39,Parametros!$B$19:$G$23,3,0)*W39</f>
        <v>0</v>
      </c>
      <c r="AA39" s="38">
        <f>VLOOKUP(H39,Parametros!$B$19:$G$23,4,0)*W39</f>
        <v>0</v>
      </c>
      <c r="AB39" s="38">
        <f t="shared" si="1"/>
        <v>3.14</v>
      </c>
      <c r="AC39" s="38">
        <v>0</v>
      </c>
      <c r="AD39" s="38">
        <v>0</v>
      </c>
      <c r="AE39" s="38">
        <f t="shared" si="2"/>
        <v>30.512800000000002</v>
      </c>
      <c r="AF39" s="38">
        <f t="shared" si="3"/>
        <v>225.8072</v>
      </c>
      <c r="AG39" s="37">
        <f t="shared" si="4"/>
        <v>18.95</v>
      </c>
      <c r="AH39" s="38">
        <f t="shared" si="5"/>
        <v>3.26</v>
      </c>
      <c r="AI39" s="37"/>
    </row>
    <row r="40" spans="1:35" s="7" customFormat="1" ht="15">
      <c r="A40" s="8">
        <v>31</v>
      </c>
      <c r="B40" s="1" t="s">
        <v>93</v>
      </c>
      <c r="C40" s="31" t="s">
        <v>12</v>
      </c>
      <c r="D40" s="32" t="s">
        <v>139</v>
      </c>
      <c r="E40" s="33">
        <v>31830</v>
      </c>
      <c r="F40" s="33">
        <v>40599</v>
      </c>
      <c r="G40" s="33">
        <v>40621</v>
      </c>
      <c r="H40" s="33" t="s">
        <v>11</v>
      </c>
      <c r="I40" s="33"/>
      <c r="J40" s="35">
        <v>3</v>
      </c>
      <c r="K40" s="35"/>
      <c r="L40" s="35"/>
      <c r="M40" s="36">
        <f>IF(C40="","",VLOOKUP(C40,Parametros!$B$11:$C$13,2,0)*J40)</f>
        <v>100.80000000000001</v>
      </c>
      <c r="N40" s="37">
        <f>IF(C40="","",VLOOKUP(C40,Parametros!$B$11:$D$13,3,0)*J40*VLOOKUP(C40,Parametros!$B$11:$C$13,2,0))</f>
        <v>30.24</v>
      </c>
      <c r="O40" s="38">
        <f>+VLOOKUP(C40,Parametros!$B$11:$E$13,4,0)*J40</f>
        <v>0</v>
      </c>
      <c r="P40" s="38">
        <f>+IF(C40="","",VLOOKUP(C40,Parametros!$B$11:$F$13,5,0)*J40)</f>
        <v>16.799999999999997</v>
      </c>
      <c r="Q40" s="38">
        <f>+IF(C40="","",VLOOKUP(C40,Parametros!$B$11:$G$13,6,0)*J40)</f>
        <v>10.08</v>
      </c>
      <c r="R40" s="37">
        <f>+IF(C40="","",VLOOKUP(C40,Parametros!$B$11:$H$13,7,0)*J40)</f>
        <v>15.120000000000001</v>
      </c>
      <c r="S40" s="38">
        <f>IF(J40&lt;6,VLOOKUP(C40,Parametros!$B$11:$I$13,8,0)*Planilla!J40,VLOOKUP(C40,Parametros!$B$11:$I$13,8,0)*J40+VLOOKUP(C40,Parametros!$B$11:$I$13,8,0))</f>
        <v>19.200000000000003</v>
      </c>
      <c r="T40" s="38">
        <f>K40*VLOOKUP(C40,Parametros!$B$11:$K$13,9,0)</f>
        <v>0</v>
      </c>
      <c r="U40" s="38">
        <f>L40*VLOOKUP(C40,Parametros!$B$11:$L$13,10,0)</f>
        <v>0</v>
      </c>
      <c r="V40" s="38">
        <f t="shared" si="6"/>
        <v>192.24000000000007</v>
      </c>
      <c r="W40" s="38">
        <f t="shared" si="0"/>
        <v>157.92000000000004</v>
      </c>
      <c r="X40" s="38">
        <f>IF(H40="S.N.P.",W40*Parametros!$F$19,0)</f>
        <v>20.529600000000006</v>
      </c>
      <c r="Y40" s="38">
        <f>VLOOKUP(H40,Parametros!$B$19:$G$23,2,0)*W40</f>
        <v>0</v>
      </c>
      <c r="Z40" s="38">
        <f>VLOOKUP(H40,Parametros!$B$19:$G$23,3,0)*W40</f>
        <v>0</v>
      </c>
      <c r="AA40" s="38">
        <f>VLOOKUP(H40,Parametros!$B$19:$G$23,4,0)*W40</f>
        <v>0</v>
      </c>
      <c r="AB40" s="38">
        <f t="shared" si="1"/>
        <v>2.35</v>
      </c>
      <c r="AC40" s="38">
        <v>0</v>
      </c>
      <c r="AD40" s="38">
        <v>0</v>
      </c>
      <c r="AE40" s="38">
        <f t="shared" si="2"/>
        <v>22.879600000000007</v>
      </c>
      <c r="AF40" s="38">
        <f t="shared" si="3"/>
        <v>169.36040000000006</v>
      </c>
      <c r="AG40" s="37">
        <f t="shared" si="4"/>
        <v>14.21</v>
      </c>
      <c r="AH40" s="38">
        <f t="shared" si="5"/>
        <v>2.45</v>
      </c>
      <c r="AI40" s="37"/>
    </row>
    <row r="41" spans="1:35" s="7" customFormat="1" ht="15">
      <c r="A41" s="8">
        <v>32</v>
      </c>
      <c r="B41" s="1" t="s">
        <v>94</v>
      </c>
      <c r="C41" s="31" t="s">
        <v>12</v>
      </c>
      <c r="D41" s="32" t="s">
        <v>140</v>
      </c>
      <c r="E41" s="33">
        <v>31830</v>
      </c>
      <c r="F41" s="33">
        <v>40618</v>
      </c>
      <c r="G41" s="33">
        <v>40621</v>
      </c>
      <c r="H41" s="34" t="s">
        <v>11</v>
      </c>
      <c r="I41" s="33"/>
      <c r="J41" s="35">
        <v>6</v>
      </c>
      <c r="K41" s="35"/>
      <c r="L41" s="35"/>
      <c r="M41" s="36">
        <f>IF(C41="","",VLOOKUP(C41,Parametros!$B$11:$C$13,2,0)*J41)</f>
        <v>201.60000000000002</v>
      </c>
      <c r="N41" s="37">
        <f>IF(C41="","",VLOOKUP(C41,Parametros!$B$11:$D$13,3,0)*J41*VLOOKUP(C41,Parametros!$B$11:$C$13,2,0))</f>
        <v>60.48</v>
      </c>
      <c r="O41" s="38">
        <f>+VLOOKUP(C41,Parametros!$B$11:$E$13,4,0)*J41</f>
        <v>0</v>
      </c>
      <c r="P41" s="38">
        <f>+IF(C41="","",VLOOKUP(C41,Parametros!$B$11:$F$13,5,0)*J41)</f>
        <v>33.599999999999994</v>
      </c>
      <c r="Q41" s="38">
        <f>+IF(C41="","",VLOOKUP(C41,Parametros!$B$11:$G$13,6,0)*J41)</f>
        <v>20.16</v>
      </c>
      <c r="R41" s="37">
        <f>+IF(C41="","",VLOOKUP(C41,Parametros!$B$11:$H$13,7,0)*J41)</f>
        <v>30.240000000000002</v>
      </c>
      <c r="S41" s="38">
        <f>IF(J41&lt;6,VLOOKUP(C41,Parametros!$B$11:$I$13,8,0)*Planilla!J41,VLOOKUP(C41,Parametros!$B$11:$I$13,8,0)*J41+VLOOKUP(C41,Parametros!$B$11:$I$13,8,0))</f>
        <v>44.800000000000004</v>
      </c>
      <c r="T41" s="38">
        <f>K41*VLOOKUP(C41,Parametros!$B$11:$K$13,9,0)</f>
        <v>0</v>
      </c>
      <c r="U41" s="38">
        <f>L41*VLOOKUP(C41,Parametros!$B$11:$L$13,10,0)</f>
        <v>0</v>
      </c>
      <c r="V41" s="38">
        <f t="shared" si="6"/>
        <v>390.8800000000001</v>
      </c>
      <c r="W41" s="38">
        <f t="shared" si="0"/>
        <v>315.8400000000001</v>
      </c>
      <c r="X41" s="38">
        <f>IF(H41="S.N.P.",W41*Parametros!$F$19,0)</f>
        <v>41.05920000000001</v>
      </c>
      <c r="Y41" s="38">
        <f>VLOOKUP(H41,Parametros!$B$19:$G$23,2,0)*W41</f>
        <v>0</v>
      </c>
      <c r="Z41" s="38">
        <f>VLOOKUP(H41,Parametros!$B$19:$G$23,3,0)*W41</f>
        <v>0</v>
      </c>
      <c r="AA41" s="38">
        <f>VLOOKUP(H41,Parametros!$B$19:$G$23,4,0)*W41</f>
        <v>0</v>
      </c>
      <c r="AB41" s="38">
        <f t="shared" si="1"/>
        <v>4.7</v>
      </c>
      <c r="AC41" s="38">
        <v>0</v>
      </c>
      <c r="AD41" s="38">
        <v>0</v>
      </c>
      <c r="AE41" s="38">
        <f t="shared" si="2"/>
        <v>45.759200000000014</v>
      </c>
      <c r="AF41" s="38">
        <f t="shared" si="3"/>
        <v>345.1208000000001</v>
      </c>
      <c r="AG41" s="37">
        <f t="shared" si="4"/>
        <v>28.43</v>
      </c>
      <c r="AH41" s="38">
        <f t="shared" si="5"/>
        <v>4.9</v>
      </c>
      <c r="AI41" s="37"/>
    </row>
    <row r="42" spans="1:35" s="7" customFormat="1" ht="15">
      <c r="A42" s="8">
        <v>33</v>
      </c>
      <c r="B42" s="1" t="s">
        <v>95</v>
      </c>
      <c r="C42" s="31" t="s">
        <v>12</v>
      </c>
      <c r="D42" s="32" t="s">
        <v>141</v>
      </c>
      <c r="E42" s="33">
        <v>31830</v>
      </c>
      <c r="F42" s="33">
        <v>40602</v>
      </c>
      <c r="G42" s="33">
        <v>40621</v>
      </c>
      <c r="H42" s="33" t="s">
        <v>11</v>
      </c>
      <c r="I42" s="33"/>
      <c r="J42" s="35">
        <v>3</v>
      </c>
      <c r="K42" s="35"/>
      <c r="L42" s="35"/>
      <c r="M42" s="36">
        <f>IF(C42="","",VLOOKUP(C42,Parametros!$B$11:$C$13,2,0)*J42)</f>
        <v>100.80000000000001</v>
      </c>
      <c r="N42" s="37">
        <f>IF(C42="","",VLOOKUP(C42,Parametros!$B$11:$D$13,3,0)*J42*VLOOKUP(C42,Parametros!$B$11:$C$13,2,0))</f>
        <v>30.24</v>
      </c>
      <c r="O42" s="38">
        <f>+VLOOKUP(C42,Parametros!$B$11:$E$13,4,0)*J42</f>
        <v>0</v>
      </c>
      <c r="P42" s="38">
        <f>+IF(C42="","",VLOOKUP(C42,Parametros!$B$11:$F$13,5,0)*J42)</f>
        <v>16.799999999999997</v>
      </c>
      <c r="Q42" s="38">
        <f>+IF(C42="","",VLOOKUP(C42,Parametros!$B$11:$G$13,6,0)*J42)</f>
        <v>10.08</v>
      </c>
      <c r="R42" s="37">
        <f>+IF(C42="","",VLOOKUP(C42,Parametros!$B$11:$H$13,7,0)*J42)</f>
        <v>15.120000000000001</v>
      </c>
      <c r="S42" s="38">
        <f>IF(J42&lt;6,VLOOKUP(C42,Parametros!$B$11:$I$13,8,0)*Planilla!J42,VLOOKUP(C42,Parametros!$B$11:$I$13,8,0)*J42+VLOOKUP(C42,Parametros!$B$11:$I$13,8,0))</f>
        <v>19.200000000000003</v>
      </c>
      <c r="T42" s="38">
        <f>K42*VLOOKUP(C42,Parametros!$B$11:$K$13,9,0)</f>
        <v>0</v>
      </c>
      <c r="U42" s="38">
        <f>L42*VLOOKUP(C42,Parametros!$B$11:$L$13,10,0)</f>
        <v>0</v>
      </c>
      <c r="V42" s="38">
        <f t="shared" si="6"/>
        <v>192.24000000000007</v>
      </c>
      <c r="W42" s="38">
        <f t="shared" si="0"/>
        <v>157.92000000000004</v>
      </c>
      <c r="X42" s="38">
        <f>IF(H42="S.N.P.",W42*Parametros!$F$19,0)</f>
        <v>20.529600000000006</v>
      </c>
      <c r="Y42" s="38">
        <f>VLOOKUP(H42,Parametros!$B$19:$G$23,2,0)*W42</f>
        <v>0</v>
      </c>
      <c r="Z42" s="38">
        <f>VLOOKUP(H42,Parametros!$B$19:$G$23,3,0)*W42</f>
        <v>0</v>
      </c>
      <c r="AA42" s="38">
        <f>VLOOKUP(H42,Parametros!$B$19:$G$23,4,0)*W42</f>
        <v>0</v>
      </c>
      <c r="AB42" s="38">
        <f t="shared" si="1"/>
        <v>2.35</v>
      </c>
      <c r="AC42" s="38">
        <v>0</v>
      </c>
      <c r="AD42" s="38">
        <v>0</v>
      </c>
      <c r="AE42" s="38">
        <f t="shared" si="2"/>
        <v>22.879600000000007</v>
      </c>
      <c r="AF42" s="38">
        <f t="shared" si="3"/>
        <v>169.36040000000006</v>
      </c>
      <c r="AG42" s="37">
        <f t="shared" si="4"/>
        <v>14.21</v>
      </c>
      <c r="AH42" s="38">
        <f t="shared" si="5"/>
        <v>2.45</v>
      </c>
      <c r="AI42" s="37"/>
    </row>
    <row r="43" spans="1:35" s="7" customFormat="1" ht="15">
      <c r="A43" s="8">
        <v>34</v>
      </c>
      <c r="B43" s="1" t="s">
        <v>96</v>
      </c>
      <c r="C43" s="31" t="s">
        <v>12</v>
      </c>
      <c r="D43" s="32" t="s">
        <v>142</v>
      </c>
      <c r="E43" s="33">
        <v>31830</v>
      </c>
      <c r="F43" s="33">
        <v>40602</v>
      </c>
      <c r="G43" s="33">
        <v>40621</v>
      </c>
      <c r="H43" s="33" t="s">
        <v>11</v>
      </c>
      <c r="I43" s="33"/>
      <c r="J43" s="35">
        <v>3</v>
      </c>
      <c r="K43" s="35"/>
      <c r="L43" s="35"/>
      <c r="M43" s="36">
        <f>IF(C43="","",VLOOKUP(C43,Parametros!$B$11:$C$13,2,0)*J43)</f>
        <v>100.80000000000001</v>
      </c>
      <c r="N43" s="37">
        <f>IF(C43="","",VLOOKUP(C43,Parametros!$B$11:$D$13,3,0)*J43*VLOOKUP(C43,Parametros!$B$11:$C$13,2,0))</f>
        <v>30.24</v>
      </c>
      <c r="O43" s="38">
        <f>+VLOOKUP(C43,Parametros!$B$11:$E$13,4,0)*J43</f>
        <v>0</v>
      </c>
      <c r="P43" s="38">
        <f>+IF(C43="","",VLOOKUP(C43,Parametros!$B$11:$F$13,5,0)*J43)</f>
        <v>16.799999999999997</v>
      </c>
      <c r="Q43" s="38">
        <f>+IF(C43="","",VLOOKUP(C43,Parametros!$B$11:$G$13,6,0)*J43)</f>
        <v>10.08</v>
      </c>
      <c r="R43" s="37">
        <f>+IF(C43="","",VLOOKUP(C43,Parametros!$B$11:$H$13,7,0)*J43)</f>
        <v>15.120000000000001</v>
      </c>
      <c r="S43" s="38">
        <f>IF(J43&lt;6,VLOOKUP(C43,Parametros!$B$11:$I$13,8,0)*Planilla!J43,VLOOKUP(C43,Parametros!$B$11:$I$13,8,0)*J43+VLOOKUP(C43,Parametros!$B$11:$I$13,8,0))</f>
        <v>19.200000000000003</v>
      </c>
      <c r="T43" s="38">
        <f>K43*VLOOKUP(C43,Parametros!$B$11:$K$13,9,0)</f>
        <v>0</v>
      </c>
      <c r="U43" s="38">
        <f>L43*VLOOKUP(C43,Parametros!$B$11:$L$13,10,0)</f>
        <v>0</v>
      </c>
      <c r="V43" s="38">
        <f t="shared" si="6"/>
        <v>192.24000000000007</v>
      </c>
      <c r="W43" s="38">
        <f t="shared" si="0"/>
        <v>157.92000000000004</v>
      </c>
      <c r="X43" s="38">
        <f>IF(H43="S.N.P.",W43*Parametros!$F$19,0)</f>
        <v>20.529600000000006</v>
      </c>
      <c r="Y43" s="38">
        <f>VLOOKUP(H43,Parametros!$B$19:$G$23,2,0)*W43</f>
        <v>0</v>
      </c>
      <c r="Z43" s="38">
        <f>VLOOKUP(H43,Parametros!$B$19:$G$23,3,0)*W43</f>
        <v>0</v>
      </c>
      <c r="AA43" s="38">
        <f>VLOOKUP(H43,Parametros!$B$19:$G$23,4,0)*W43</f>
        <v>0</v>
      </c>
      <c r="AB43" s="38">
        <f t="shared" si="1"/>
        <v>2.35</v>
      </c>
      <c r="AC43" s="38">
        <v>0</v>
      </c>
      <c r="AD43" s="38">
        <v>0</v>
      </c>
      <c r="AE43" s="38">
        <f t="shared" si="2"/>
        <v>22.879600000000007</v>
      </c>
      <c r="AF43" s="38">
        <f t="shared" si="3"/>
        <v>169.36040000000006</v>
      </c>
      <c r="AG43" s="37">
        <f t="shared" si="4"/>
        <v>14.21</v>
      </c>
      <c r="AH43" s="38">
        <f t="shared" si="5"/>
        <v>2.45</v>
      </c>
      <c r="AI43" s="37"/>
    </row>
    <row r="44" spans="1:35" s="7" customFormat="1" ht="15">
      <c r="A44" s="8">
        <v>35</v>
      </c>
      <c r="B44" s="1" t="s">
        <v>97</v>
      </c>
      <c r="C44" s="31" t="s">
        <v>12</v>
      </c>
      <c r="D44" s="32" t="s">
        <v>143</v>
      </c>
      <c r="E44" s="33">
        <v>30832</v>
      </c>
      <c r="F44" s="33">
        <v>40568</v>
      </c>
      <c r="G44" s="33">
        <v>40621</v>
      </c>
      <c r="H44" s="33" t="s">
        <v>11</v>
      </c>
      <c r="I44" s="33"/>
      <c r="J44" s="35">
        <v>4</v>
      </c>
      <c r="K44" s="35"/>
      <c r="L44" s="35"/>
      <c r="M44" s="36">
        <f>IF(C44="","",VLOOKUP(C44,Parametros!$B$11:$C$13,2,0)*J44)</f>
        <v>134.4</v>
      </c>
      <c r="N44" s="37">
        <f>IF(C44="","",VLOOKUP(C44,Parametros!$B$11:$D$13,3,0)*J44*VLOOKUP(C44,Parametros!$B$11:$C$13,2,0))</f>
        <v>40.32</v>
      </c>
      <c r="O44" s="38">
        <f>+VLOOKUP(C44,Parametros!$B$11:$E$13,4,0)*J44</f>
        <v>0</v>
      </c>
      <c r="P44" s="38">
        <f>+IF(C44="","",VLOOKUP(C44,Parametros!$B$11:$F$13,5,0)*J44)</f>
        <v>22.4</v>
      </c>
      <c r="Q44" s="38">
        <f>+IF(C44="","",VLOOKUP(C44,Parametros!$B$11:$G$13,6,0)*J44)</f>
        <v>13.44</v>
      </c>
      <c r="R44" s="37">
        <f>+IF(C44="","",VLOOKUP(C44,Parametros!$B$11:$H$13,7,0)*J44)</f>
        <v>20.16</v>
      </c>
      <c r="S44" s="38">
        <f>IF(J44&lt;6,VLOOKUP(C44,Parametros!$B$11:$I$13,8,0)*Planilla!J44,VLOOKUP(C44,Parametros!$B$11:$I$13,8,0)*J44+VLOOKUP(C44,Parametros!$B$11:$I$13,8,0))</f>
        <v>25.6</v>
      </c>
      <c r="T44" s="38">
        <f>K44*VLOOKUP(C44,Parametros!$B$11:$K$13,9,0)</f>
        <v>0</v>
      </c>
      <c r="U44" s="38">
        <f>L44*VLOOKUP(C44,Parametros!$B$11:$L$13,10,0)</f>
        <v>0</v>
      </c>
      <c r="V44" s="38">
        <f t="shared" si="6"/>
        <v>256.32</v>
      </c>
      <c r="W44" s="38">
        <f t="shared" si="0"/>
        <v>210.56</v>
      </c>
      <c r="X44" s="38">
        <f>IF(H44="S.N.P.",W44*Parametros!$F$19,0)</f>
        <v>27.3728</v>
      </c>
      <c r="Y44" s="38">
        <f>VLOOKUP(H44,Parametros!$B$19:$G$23,2,0)*W44</f>
        <v>0</v>
      </c>
      <c r="Z44" s="38">
        <f>VLOOKUP(H44,Parametros!$B$19:$G$23,3,0)*W44</f>
        <v>0</v>
      </c>
      <c r="AA44" s="38">
        <f>VLOOKUP(H44,Parametros!$B$19:$G$23,4,0)*W44</f>
        <v>0</v>
      </c>
      <c r="AB44" s="38">
        <f t="shared" si="1"/>
        <v>3.14</v>
      </c>
      <c r="AC44" s="38">
        <v>0</v>
      </c>
      <c r="AD44" s="38">
        <v>0</v>
      </c>
      <c r="AE44" s="38">
        <f t="shared" si="2"/>
        <v>30.512800000000002</v>
      </c>
      <c r="AF44" s="38">
        <f t="shared" si="3"/>
        <v>225.8072</v>
      </c>
      <c r="AG44" s="37">
        <f t="shared" si="4"/>
        <v>18.95</v>
      </c>
      <c r="AH44" s="38">
        <f t="shared" si="5"/>
        <v>3.26</v>
      </c>
      <c r="AI44" s="37"/>
    </row>
    <row r="45" spans="1:35" s="7" customFormat="1" ht="15">
      <c r="A45" s="8">
        <v>36</v>
      </c>
      <c r="B45" s="1" t="s">
        <v>98</v>
      </c>
      <c r="C45" s="31" t="s">
        <v>10</v>
      </c>
      <c r="D45" s="32" t="s">
        <v>144</v>
      </c>
      <c r="E45" s="33">
        <v>21607</v>
      </c>
      <c r="F45" s="33">
        <v>40582</v>
      </c>
      <c r="G45" s="33">
        <v>40621</v>
      </c>
      <c r="H45" s="33" t="s">
        <v>11</v>
      </c>
      <c r="I45" s="33"/>
      <c r="J45" s="35">
        <v>4</v>
      </c>
      <c r="K45" s="35"/>
      <c r="L45" s="35"/>
      <c r="M45" s="36">
        <f>IF(C45="","",VLOOKUP(C45,Parametros!$B$11:$C$13,2,0)*J45)</f>
        <v>171.2</v>
      </c>
      <c r="N45" s="37">
        <f>IF(C45="","",VLOOKUP(C45,Parametros!$B$11:$D$13,3,0)*J45*VLOOKUP(C45,Parametros!$B$11:$C$13,2,0))</f>
        <v>54.784</v>
      </c>
      <c r="O45" s="38">
        <f>+VLOOKUP(C45,Parametros!$B$11:$E$13,4,0)*J45</f>
        <v>0</v>
      </c>
      <c r="P45" s="38">
        <f>+IF(C45="","",VLOOKUP(C45,Parametros!$B$11:$F$13,5,0)*J45)</f>
        <v>28.52</v>
      </c>
      <c r="Q45" s="38">
        <f>+IF(C45="","",VLOOKUP(C45,Parametros!$B$11:$G$13,6,0)*J45)</f>
        <v>17.12</v>
      </c>
      <c r="R45" s="37">
        <f>+IF(C45="","",VLOOKUP(C45,Parametros!$B$11:$H$13,7,0)*J45)</f>
        <v>25.68</v>
      </c>
      <c r="S45" s="38">
        <f>IF(J45&lt;6,VLOOKUP(C45,Parametros!$B$11:$I$13,8,0)*Planilla!J45,VLOOKUP(C45,Parametros!$B$11:$I$13,8,0)*J45+VLOOKUP(C45,Parametros!$B$11:$I$13,8,0))</f>
        <v>32.6</v>
      </c>
      <c r="T45" s="38">
        <f>K45*VLOOKUP(C45,Parametros!$B$11:$K$13,9,0)</f>
        <v>0</v>
      </c>
      <c r="U45" s="38">
        <f>L45*VLOOKUP(C45,Parametros!$B$11:$L$13,10,0)</f>
        <v>0</v>
      </c>
      <c r="V45" s="38">
        <f t="shared" si="6"/>
        <v>329.904</v>
      </c>
      <c r="W45" s="38">
        <f t="shared" si="0"/>
        <v>271.62399999999997</v>
      </c>
      <c r="X45" s="38">
        <f>IF(H45="S.N.P.",W45*Parametros!$F$19,0)</f>
        <v>35.311119999999995</v>
      </c>
      <c r="Y45" s="38">
        <f>VLOOKUP(H45,Parametros!$B$19:$G$23,2,0)*W45</f>
        <v>0</v>
      </c>
      <c r="Z45" s="38">
        <f>VLOOKUP(H45,Parametros!$B$19:$G$23,3,0)*W45</f>
        <v>0</v>
      </c>
      <c r="AA45" s="38">
        <f>VLOOKUP(H45,Parametros!$B$19:$G$23,4,0)*W45</f>
        <v>0</v>
      </c>
      <c r="AB45" s="38">
        <f t="shared" si="1"/>
        <v>3.99</v>
      </c>
      <c r="AC45" s="38">
        <v>0</v>
      </c>
      <c r="AD45" s="38">
        <v>0</v>
      </c>
      <c r="AE45" s="38">
        <f t="shared" si="2"/>
        <v>39.30112</v>
      </c>
      <c r="AF45" s="38">
        <f t="shared" si="3"/>
        <v>290.60288</v>
      </c>
      <c r="AG45" s="37">
        <f t="shared" si="4"/>
        <v>24.45</v>
      </c>
      <c r="AH45" s="38">
        <f t="shared" si="5"/>
        <v>4.21</v>
      </c>
      <c r="AI45" s="37"/>
    </row>
    <row r="46" spans="1:35" s="7" customFormat="1" ht="15">
      <c r="A46" s="8">
        <v>37</v>
      </c>
      <c r="B46" s="1" t="s">
        <v>99</v>
      </c>
      <c r="C46" s="31" t="s">
        <v>12</v>
      </c>
      <c r="D46" s="32" t="s">
        <v>145</v>
      </c>
      <c r="E46" s="33">
        <v>21607</v>
      </c>
      <c r="F46" s="33">
        <v>40599</v>
      </c>
      <c r="G46" s="33">
        <v>40621</v>
      </c>
      <c r="H46" s="33" t="s">
        <v>11</v>
      </c>
      <c r="I46" s="33"/>
      <c r="J46" s="35">
        <v>3</v>
      </c>
      <c r="K46" s="35"/>
      <c r="L46" s="35"/>
      <c r="M46" s="36">
        <f>IF(C46="","",VLOOKUP(C46,Parametros!$B$11:$C$13,2,0)*J46)</f>
        <v>100.80000000000001</v>
      </c>
      <c r="N46" s="37">
        <f>IF(C46="","",VLOOKUP(C46,Parametros!$B$11:$D$13,3,0)*J46*VLOOKUP(C46,Parametros!$B$11:$C$13,2,0))</f>
        <v>30.24</v>
      </c>
      <c r="O46" s="38">
        <f>+VLOOKUP(C46,Parametros!$B$11:$E$13,4,0)*J46</f>
        <v>0</v>
      </c>
      <c r="P46" s="38">
        <f>+IF(C46="","",VLOOKUP(C46,Parametros!$B$11:$F$13,5,0)*J46)</f>
        <v>16.799999999999997</v>
      </c>
      <c r="Q46" s="38">
        <f>+IF(C46="","",VLOOKUP(C46,Parametros!$B$11:$G$13,6,0)*J46)</f>
        <v>10.08</v>
      </c>
      <c r="R46" s="37">
        <f>+IF(C46="","",VLOOKUP(C46,Parametros!$B$11:$H$13,7,0)*J46)</f>
        <v>15.120000000000001</v>
      </c>
      <c r="S46" s="38">
        <f>IF(J46&lt;6,VLOOKUP(C46,Parametros!$B$11:$I$13,8,0)*Planilla!J46,VLOOKUP(C46,Parametros!$B$11:$I$13,8,0)*J46+VLOOKUP(C46,Parametros!$B$11:$I$13,8,0))</f>
        <v>19.200000000000003</v>
      </c>
      <c r="T46" s="38">
        <f>K46*VLOOKUP(C46,Parametros!$B$11:$K$13,9,0)</f>
        <v>0</v>
      </c>
      <c r="U46" s="38">
        <f>L46*VLOOKUP(C46,Parametros!$B$11:$L$13,10,0)</f>
        <v>0</v>
      </c>
      <c r="V46" s="38">
        <f t="shared" si="6"/>
        <v>192.24000000000007</v>
      </c>
      <c r="W46" s="38">
        <f t="shared" si="0"/>
        <v>157.92000000000004</v>
      </c>
      <c r="X46" s="38">
        <f>IF(H46="S.N.P.",W46*Parametros!$F$19,0)</f>
        <v>20.529600000000006</v>
      </c>
      <c r="Y46" s="38">
        <f>VLOOKUP(H46,Parametros!$B$19:$G$23,2,0)*W46</f>
        <v>0</v>
      </c>
      <c r="Z46" s="38">
        <f>VLOOKUP(H46,Parametros!$B$19:$G$23,3,0)*W46</f>
        <v>0</v>
      </c>
      <c r="AA46" s="38">
        <f>VLOOKUP(H46,Parametros!$B$19:$G$23,4,0)*W46</f>
        <v>0</v>
      </c>
      <c r="AB46" s="38">
        <f t="shared" si="1"/>
        <v>2.35</v>
      </c>
      <c r="AC46" s="38">
        <v>0</v>
      </c>
      <c r="AD46" s="38">
        <v>0</v>
      </c>
      <c r="AE46" s="38">
        <f t="shared" si="2"/>
        <v>22.879600000000007</v>
      </c>
      <c r="AF46" s="38">
        <f t="shared" si="3"/>
        <v>169.36040000000006</v>
      </c>
      <c r="AG46" s="37">
        <f t="shared" si="4"/>
        <v>14.21</v>
      </c>
      <c r="AH46" s="38">
        <f t="shared" si="5"/>
        <v>2.45</v>
      </c>
      <c r="AI46" s="37"/>
    </row>
    <row r="47" spans="1:35" s="7" customFormat="1" ht="15">
      <c r="A47" s="8">
        <v>38</v>
      </c>
      <c r="B47" s="1" t="s">
        <v>100</v>
      </c>
      <c r="C47" s="31" t="s">
        <v>12</v>
      </c>
      <c r="D47" s="32" t="s">
        <v>146</v>
      </c>
      <c r="E47" s="33">
        <v>21607</v>
      </c>
      <c r="F47" s="33">
        <v>40611</v>
      </c>
      <c r="G47" s="33">
        <v>40621</v>
      </c>
      <c r="H47" s="33" t="s">
        <v>11</v>
      </c>
      <c r="I47" s="33"/>
      <c r="J47" s="35">
        <v>3</v>
      </c>
      <c r="K47" s="35"/>
      <c r="L47" s="35"/>
      <c r="M47" s="36">
        <f>IF(C47="","",VLOOKUP(C47,Parametros!$B$11:$C$13,2,0)*J47)</f>
        <v>100.80000000000001</v>
      </c>
      <c r="N47" s="37">
        <f>IF(C47="","",VLOOKUP(C47,Parametros!$B$11:$D$13,3,0)*J47*VLOOKUP(C47,Parametros!$B$11:$C$13,2,0))</f>
        <v>30.24</v>
      </c>
      <c r="O47" s="38">
        <f>+VLOOKUP(C47,Parametros!$B$11:$E$13,4,0)*J47</f>
        <v>0</v>
      </c>
      <c r="P47" s="38">
        <f>+IF(C47="","",VLOOKUP(C47,Parametros!$B$11:$F$13,5,0)*J47)</f>
        <v>16.799999999999997</v>
      </c>
      <c r="Q47" s="38">
        <f>+IF(C47="","",VLOOKUP(C47,Parametros!$B$11:$G$13,6,0)*J47)</f>
        <v>10.08</v>
      </c>
      <c r="R47" s="37">
        <f>+IF(C47="","",VLOOKUP(C47,Parametros!$B$11:$H$13,7,0)*J47)</f>
        <v>15.120000000000001</v>
      </c>
      <c r="S47" s="38">
        <f>IF(J47&lt;6,VLOOKUP(C47,Parametros!$B$11:$I$13,8,0)*Planilla!J47,VLOOKUP(C47,Parametros!$B$11:$I$13,8,0)*J47+VLOOKUP(C47,Parametros!$B$11:$I$13,8,0))</f>
        <v>19.200000000000003</v>
      </c>
      <c r="T47" s="38">
        <f>K47*VLOOKUP(C47,Parametros!$B$11:$K$13,9,0)</f>
        <v>0</v>
      </c>
      <c r="U47" s="38">
        <f>L47*VLOOKUP(C47,Parametros!$B$11:$L$13,10,0)</f>
        <v>0</v>
      </c>
      <c r="V47" s="38">
        <f t="shared" si="6"/>
        <v>192.24000000000007</v>
      </c>
      <c r="W47" s="38">
        <f t="shared" si="0"/>
        <v>157.92000000000004</v>
      </c>
      <c r="X47" s="38">
        <f>IF(H47="S.N.P.",W47*Parametros!$F$19,0)</f>
        <v>20.529600000000006</v>
      </c>
      <c r="Y47" s="38">
        <f>VLOOKUP(H47,Parametros!$B$19:$G$23,2,0)*W47</f>
        <v>0</v>
      </c>
      <c r="Z47" s="38">
        <f>VLOOKUP(H47,Parametros!$B$19:$G$23,3,0)*W47</f>
        <v>0</v>
      </c>
      <c r="AA47" s="38">
        <f>VLOOKUP(H47,Parametros!$B$19:$G$23,4,0)*W47</f>
        <v>0</v>
      </c>
      <c r="AB47" s="38">
        <f t="shared" si="1"/>
        <v>2.35</v>
      </c>
      <c r="AC47" s="38">
        <v>0</v>
      </c>
      <c r="AD47" s="38">
        <v>0</v>
      </c>
      <c r="AE47" s="38">
        <f t="shared" si="2"/>
        <v>22.879600000000007</v>
      </c>
      <c r="AF47" s="38">
        <f t="shared" si="3"/>
        <v>169.36040000000006</v>
      </c>
      <c r="AG47" s="37">
        <f t="shared" si="4"/>
        <v>14.21</v>
      </c>
      <c r="AH47" s="38">
        <f t="shared" si="5"/>
        <v>2.45</v>
      </c>
      <c r="AI47" s="37"/>
    </row>
    <row r="48" spans="1:35" s="7" customFormat="1" ht="15">
      <c r="A48" s="8">
        <v>39</v>
      </c>
      <c r="B48" s="1" t="s">
        <v>101</v>
      </c>
      <c r="C48" s="31" t="s">
        <v>10</v>
      </c>
      <c r="D48" s="32" t="s">
        <v>147</v>
      </c>
      <c r="E48" s="33">
        <v>29090</v>
      </c>
      <c r="F48" s="33">
        <v>40590</v>
      </c>
      <c r="G48" s="33">
        <v>40621</v>
      </c>
      <c r="H48" s="33" t="s">
        <v>16</v>
      </c>
      <c r="I48" s="33" t="s">
        <v>158</v>
      </c>
      <c r="J48" s="35">
        <v>5</v>
      </c>
      <c r="K48" s="35">
        <v>4</v>
      </c>
      <c r="L48" s="35"/>
      <c r="M48" s="36">
        <f>IF(C48="","",VLOOKUP(C48,Parametros!$B$11:$C$13,2,0)*J48)</f>
        <v>214</v>
      </c>
      <c r="N48" s="37">
        <f>IF(C48="","",VLOOKUP(C48,Parametros!$B$11:$D$13,3,0)*J48*VLOOKUP(C48,Parametros!$B$11:$C$13,2,0))</f>
        <v>68.48</v>
      </c>
      <c r="O48" s="38">
        <f>+VLOOKUP(C48,Parametros!$B$11:$E$13,4,0)*J48</f>
        <v>0</v>
      </c>
      <c r="P48" s="38">
        <f>+IF(C48="","",VLOOKUP(C48,Parametros!$B$11:$F$13,5,0)*J48)</f>
        <v>35.65</v>
      </c>
      <c r="Q48" s="38">
        <f>+IF(C48="","",VLOOKUP(C48,Parametros!$B$11:$G$13,6,0)*J48)</f>
        <v>21.400000000000002</v>
      </c>
      <c r="R48" s="37">
        <f>+IF(C48="","",VLOOKUP(C48,Parametros!$B$11:$H$13,7,0)*J48)</f>
        <v>32.1</v>
      </c>
      <c r="S48" s="38">
        <f>IF(J48&lt;6,VLOOKUP(C48,Parametros!$B$11:$I$13,8,0)*Planilla!J48,VLOOKUP(C48,Parametros!$B$11:$I$13,8,0)*J48+VLOOKUP(C48,Parametros!$B$11:$I$13,8,0))</f>
        <v>40.75</v>
      </c>
      <c r="T48" s="38">
        <f>K48*VLOOKUP(C48,Parametros!$B$11:$K$13,9,0)</f>
        <v>34.24</v>
      </c>
      <c r="U48" s="38">
        <f>L48*VLOOKUP(C48,Parametros!$B$11:$L$13,10,0)</f>
        <v>0</v>
      </c>
      <c r="V48" s="38">
        <f t="shared" si="6"/>
        <v>446.62</v>
      </c>
      <c r="W48" s="38">
        <f t="shared" si="0"/>
        <v>373.77</v>
      </c>
      <c r="X48" s="38">
        <f>IF(H48="S.N.P.",W48*Parametros!$F$19,0)</f>
        <v>0</v>
      </c>
      <c r="Y48" s="38">
        <f>VLOOKUP(H48,Parametros!$B$19:$G$23,2,0)*W48</f>
        <v>6.727859999999999</v>
      </c>
      <c r="Z48" s="38">
        <f>VLOOKUP(H48,Parametros!$B$19:$G$23,3,0)*W48</f>
        <v>3.849831</v>
      </c>
      <c r="AA48" s="38">
        <f>VLOOKUP(H48,Parametros!$B$19:$G$23,4,0)*W48</f>
        <v>37.377</v>
      </c>
      <c r="AB48" s="38">
        <f t="shared" si="1"/>
        <v>4.99</v>
      </c>
      <c r="AC48" s="38">
        <v>0</v>
      </c>
      <c r="AD48" s="38">
        <v>0</v>
      </c>
      <c r="AE48" s="38">
        <f t="shared" si="2"/>
        <v>52.944691</v>
      </c>
      <c r="AF48" s="38">
        <f t="shared" si="3"/>
        <v>393.675309</v>
      </c>
      <c r="AG48" s="37">
        <f t="shared" si="4"/>
        <v>33.64</v>
      </c>
      <c r="AH48" s="38">
        <f t="shared" si="5"/>
        <v>5.79</v>
      </c>
      <c r="AI48" s="37"/>
    </row>
    <row r="49" spans="1:35" s="7" customFormat="1" ht="15">
      <c r="A49" s="8">
        <v>40</v>
      </c>
      <c r="B49" s="1" t="s">
        <v>102</v>
      </c>
      <c r="C49" s="31" t="s">
        <v>12</v>
      </c>
      <c r="D49" s="32" t="s">
        <v>148</v>
      </c>
      <c r="E49" s="33">
        <v>29090</v>
      </c>
      <c r="F49" s="33">
        <v>40618</v>
      </c>
      <c r="G49" s="33">
        <v>40621</v>
      </c>
      <c r="H49" s="34" t="s">
        <v>11</v>
      </c>
      <c r="I49" s="33"/>
      <c r="J49" s="35">
        <v>5</v>
      </c>
      <c r="K49" s="35">
        <v>4</v>
      </c>
      <c r="L49" s="35"/>
      <c r="M49" s="36">
        <f>IF(C49="","",VLOOKUP(C49,Parametros!$B$11:$C$13,2,0)*J49)</f>
        <v>168</v>
      </c>
      <c r="N49" s="37">
        <f>IF(C49="","",VLOOKUP(C49,Parametros!$B$11:$D$13,3,0)*J49*VLOOKUP(C49,Parametros!$B$11:$C$13,2,0))</f>
        <v>50.400000000000006</v>
      </c>
      <c r="O49" s="38">
        <f>+VLOOKUP(C49,Parametros!$B$11:$E$13,4,0)*J49</f>
        <v>0</v>
      </c>
      <c r="P49" s="38">
        <f>+IF(C49="","",VLOOKUP(C49,Parametros!$B$11:$F$13,5,0)*J49)</f>
        <v>28</v>
      </c>
      <c r="Q49" s="38">
        <f>+IF(C49="","",VLOOKUP(C49,Parametros!$B$11:$G$13,6,0)*J49)</f>
        <v>16.8</v>
      </c>
      <c r="R49" s="37">
        <f>+IF(C49="","",VLOOKUP(C49,Parametros!$B$11:$H$13,7,0)*J49)</f>
        <v>25.2</v>
      </c>
      <c r="S49" s="38">
        <f>IF(J49&lt;6,VLOOKUP(C49,Parametros!$B$11:$I$13,8,0)*Planilla!J49,VLOOKUP(C49,Parametros!$B$11:$I$13,8,0)*J49+VLOOKUP(C49,Parametros!$B$11:$I$13,8,0))</f>
        <v>32</v>
      </c>
      <c r="T49" s="38">
        <f>K49*VLOOKUP(C49,Parametros!$B$11:$K$13,9,0)</f>
        <v>26.880000000000003</v>
      </c>
      <c r="U49" s="38">
        <f>L49*VLOOKUP(C49,Parametros!$B$11:$L$13,10,0)</f>
        <v>0</v>
      </c>
      <c r="V49" s="38">
        <f t="shared" si="6"/>
        <v>347.28</v>
      </c>
      <c r="W49" s="38">
        <f t="shared" si="0"/>
        <v>290.08</v>
      </c>
      <c r="X49" s="38">
        <f>IF(H49="S.N.P.",W49*Parametros!$F$19,0)</f>
        <v>37.7104</v>
      </c>
      <c r="Y49" s="38">
        <f>VLOOKUP(H49,Parametros!$B$19:$G$23,2,0)*W49</f>
        <v>0</v>
      </c>
      <c r="Z49" s="38">
        <f>VLOOKUP(H49,Parametros!$B$19:$G$23,3,0)*W49</f>
        <v>0</v>
      </c>
      <c r="AA49" s="38">
        <f>VLOOKUP(H49,Parametros!$B$19:$G$23,4,0)*W49</f>
        <v>0</v>
      </c>
      <c r="AB49" s="38">
        <f t="shared" si="1"/>
        <v>3.92</v>
      </c>
      <c r="AC49" s="38">
        <v>0</v>
      </c>
      <c r="AD49" s="38">
        <v>0</v>
      </c>
      <c r="AE49" s="38">
        <f t="shared" si="2"/>
        <v>41.6304</v>
      </c>
      <c r="AF49" s="38">
        <f t="shared" si="3"/>
        <v>305.64959999999996</v>
      </c>
      <c r="AG49" s="37">
        <f t="shared" si="4"/>
        <v>26.11</v>
      </c>
      <c r="AH49" s="38">
        <f t="shared" si="5"/>
        <v>4.5</v>
      </c>
      <c r="AI49" s="37"/>
    </row>
    <row r="50" spans="1:35" s="7" customFormat="1" ht="15">
      <c r="A50" s="8">
        <v>41</v>
      </c>
      <c r="B50" s="1" t="s">
        <v>103</v>
      </c>
      <c r="C50" s="31" t="s">
        <v>10</v>
      </c>
      <c r="D50" s="32" t="s">
        <v>149</v>
      </c>
      <c r="E50" s="33">
        <v>21023</v>
      </c>
      <c r="F50" s="33">
        <v>40590</v>
      </c>
      <c r="G50" s="33">
        <v>40621</v>
      </c>
      <c r="H50" s="33" t="s">
        <v>11</v>
      </c>
      <c r="I50" s="33"/>
      <c r="J50" s="35">
        <v>4</v>
      </c>
      <c r="K50" s="35">
        <v>4</v>
      </c>
      <c r="L50" s="35"/>
      <c r="M50" s="36">
        <f>IF(C50="","",VLOOKUP(C50,Parametros!$B$11:$C$13,2,0)*J50)</f>
        <v>171.2</v>
      </c>
      <c r="N50" s="37">
        <f>IF(C50="","",VLOOKUP(C50,Parametros!$B$11:$D$13,3,0)*J50*VLOOKUP(C50,Parametros!$B$11:$C$13,2,0))</f>
        <v>54.784</v>
      </c>
      <c r="O50" s="38">
        <f>+VLOOKUP(C50,Parametros!$B$11:$E$13,4,0)*J50</f>
        <v>0</v>
      </c>
      <c r="P50" s="38">
        <f>+IF(C50="","",VLOOKUP(C50,Parametros!$B$11:$F$13,5,0)*J50)</f>
        <v>28.52</v>
      </c>
      <c r="Q50" s="38">
        <f>+IF(C50="","",VLOOKUP(C50,Parametros!$B$11:$G$13,6,0)*J50)</f>
        <v>17.12</v>
      </c>
      <c r="R50" s="37">
        <f>+IF(C50="","",VLOOKUP(C50,Parametros!$B$11:$H$13,7,0)*J50)</f>
        <v>25.68</v>
      </c>
      <c r="S50" s="38">
        <f>IF(J50&lt;6,VLOOKUP(C50,Parametros!$B$11:$I$13,8,0)*Planilla!J50,VLOOKUP(C50,Parametros!$B$11:$I$13,8,0)*J50+VLOOKUP(C50,Parametros!$B$11:$I$13,8,0))</f>
        <v>32.6</v>
      </c>
      <c r="T50" s="38">
        <f>K50*VLOOKUP(C50,Parametros!$B$11:$K$13,9,0)</f>
        <v>34.24</v>
      </c>
      <c r="U50" s="38">
        <f>L50*VLOOKUP(C50,Parametros!$B$11:$L$13,10,0)</f>
        <v>0</v>
      </c>
      <c r="V50" s="38">
        <f t="shared" si="6"/>
        <v>364.144</v>
      </c>
      <c r="W50" s="38">
        <f t="shared" si="0"/>
        <v>305.864</v>
      </c>
      <c r="X50" s="38">
        <f>IF(H50="S.N.P.",W50*Parametros!$F$19,0)</f>
        <v>39.762319999999995</v>
      </c>
      <c r="Y50" s="38">
        <f>VLOOKUP(H50,Parametros!$B$19:$G$23,2,0)*W50</f>
        <v>0</v>
      </c>
      <c r="Z50" s="38">
        <f>VLOOKUP(H50,Parametros!$B$19:$G$23,3,0)*W50</f>
        <v>0</v>
      </c>
      <c r="AA50" s="38">
        <f>VLOOKUP(H50,Parametros!$B$19:$G$23,4,0)*W50</f>
        <v>0</v>
      </c>
      <c r="AB50" s="38">
        <f t="shared" si="1"/>
        <v>3.99</v>
      </c>
      <c r="AC50" s="38">
        <v>0</v>
      </c>
      <c r="AD50" s="38">
        <v>0</v>
      </c>
      <c r="AE50" s="38">
        <f t="shared" si="2"/>
        <v>43.75232</v>
      </c>
      <c r="AF50" s="38">
        <f t="shared" si="3"/>
        <v>320.39168</v>
      </c>
      <c r="AG50" s="37">
        <f t="shared" si="4"/>
        <v>27.53</v>
      </c>
      <c r="AH50" s="38">
        <f t="shared" si="5"/>
        <v>4.74</v>
      </c>
      <c r="AI50" s="37"/>
    </row>
    <row r="51" spans="1:35" s="7" customFormat="1" ht="15">
      <c r="A51" s="8">
        <v>42</v>
      </c>
      <c r="B51" s="1" t="s">
        <v>104</v>
      </c>
      <c r="C51" s="31" t="s">
        <v>10</v>
      </c>
      <c r="D51" s="32" t="s">
        <v>150</v>
      </c>
      <c r="E51" s="33">
        <v>21023</v>
      </c>
      <c r="F51" s="33">
        <v>40599</v>
      </c>
      <c r="G51" s="33">
        <v>40621</v>
      </c>
      <c r="H51" s="33" t="s">
        <v>11</v>
      </c>
      <c r="I51" s="33"/>
      <c r="J51" s="35">
        <v>4</v>
      </c>
      <c r="K51" s="35">
        <v>4</v>
      </c>
      <c r="L51" s="35"/>
      <c r="M51" s="36">
        <f>IF(C51="","",VLOOKUP(C51,Parametros!$B$11:$C$13,2,0)*J51)</f>
        <v>171.2</v>
      </c>
      <c r="N51" s="37">
        <f>IF(C51="","",VLOOKUP(C51,Parametros!$B$11:$D$13,3,0)*J51*VLOOKUP(C51,Parametros!$B$11:$C$13,2,0))</f>
        <v>54.784</v>
      </c>
      <c r="O51" s="38">
        <f>+VLOOKUP(C51,Parametros!$B$11:$E$13,4,0)*J51</f>
        <v>0</v>
      </c>
      <c r="P51" s="38">
        <f>+IF(C51="","",VLOOKUP(C51,Parametros!$B$11:$F$13,5,0)*J51)</f>
        <v>28.52</v>
      </c>
      <c r="Q51" s="38">
        <f>+IF(C51="","",VLOOKUP(C51,Parametros!$B$11:$G$13,6,0)*J51)</f>
        <v>17.12</v>
      </c>
      <c r="R51" s="37">
        <f>+IF(C51="","",VLOOKUP(C51,Parametros!$B$11:$H$13,7,0)*J51)</f>
        <v>25.68</v>
      </c>
      <c r="S51" s="38">
        <f>IF(J51&lt;6,VLOOKUP(C51,Parametros!$B$11:$I$13,8,0)*Planilla!J51,VLOOKUP(C51,Parametros!$B$11:$I$13,8,0)*J51+VLOOKUP(C51,Parametros!$B$11:$I$13,8,0))</f>
        <v>32.6</v>
      </c>
      <c r="T51" s="38">
        <f>K51*VLOOKUP(C51,Parametros!$B$11:$K$13,9,0)</f>
        <v>34.24</v>
      </c>
      <c r="U51" s="38">
        <f>L51*VLOOKUP(C51,Parametros!$B$11:$L$13,10,0)</f>
        <v>0</v>
      </c>
      <c r="V51" s="38">
        <f t="shared" si="6"/>
        <v>364.144</v>
      </c>
      <c r="W51" s="38">
        <f t="shared" si="0"/>
        <v>305.864</v>
      </c>
      <c r="X51" s="38">
        <f>IF(H51="S.N.P.",W51*Parametros!$F$19,0)</f>
        <v>39.762319999999995</v>
      </c>
      <c r="Y51" s="38">
        <f>VLOOKUP(H51,Parametros!$B$19:$G$23,2,0)*W51</f>
        <v>0</v>
      </c>
      <c r="Z51" s="38">
        <f>VLOOKUP(H51,Parametros!$B$19:$G$23,3,0)*W51</f>
        <v>0</v>
      </c>
      <c r="AA51" s="38">
        <f>VLOOKUP(H51,Parametros!$B$19:$G$23,4,0)*W51</f>
        <v>0</v>
      </c>
      <c r="AB51" s="38">
        <f t="shared" si="1"/>
        <v>3.99</v>
      </c>
      <c r="AC51" s="38">
        <v>0</v>
      </c>
      <c r="AD51" s="38">
        <v>0</v>
      </c>
      <c r="AE51" s="38">
        <f t="shared" si="2"/>
        <v>43.75232</v>
      </c>
      <c r="AF51" s="38">
        <f t="shared" si="3"/>
        <v>320.39168</v>
      </c>
      <c r="AG51" s="37">
        <f t="shared" si="4"/>
        <v>27.53</v>
      </c>
      <c r="AH51" s="38">
        <f t="shared" si="5"/>
        <v>4.74</v>
      </c>
      <c r="AI51" s="37"/>
    </row>
    <row r="52" spans="1:35" s="7" customFormat="1" ht="15">
      <c r="A52" s="8">
        <v>43</v>
      </c>
      <c r="B52" s="1" t="s">
        <v>105</v>
      </c>
      <c r="C52" s="31" t="s">
        <v>12</v>
      </c>
      <c r="D52" s="32" t="s">
        <v>151</v>
      </c>
      <c r="E52" s="33">
        <v>28806</v>
      </c>
      <c r="F52" s="33">
        <v>40568</v>
      </c>
      <c r="G52" s="33">
        <v>40621</v>
      </c>
      <c r="H52" s="33" t="s">
        <v>17</v>
      </c>
      <c r="I52" s="33" t="s">
        <v>159</v>
      </c>
      <c r="J52" s="35">
        <v>4</v>
      </c>
      <c r="K52" s="35"/>
      <c r="L52" s="35"/>
      <c r="M52" s="36">
        <f>IF(C52="","",VLOOKUP(C52,Parametros!$B$11:$C$13,2,0)*J52)</f>
        <v>134.4</v>
      </c>
      <c r="N52" s="37">
        <f>IF(C52="","",VLOOKUP(C52,Parametros!$B$11:$D$13,3,0)*J52*VLOOKUP(C52,Parametros!$B$11:$C$13,2,0))</f>
        <v>40.32</v>
      </c>
      <c r="O52" s="38">
        <f>+VLOOKUP(C52,Parametros!$B$11:$E$13,4,0)*J52</f>
        <v>0</v>
      </c>
      <c r="P52" s="38">
        <f>+IF(C52="","",VLOOKUP(C52,Parametros!$B$11:$F$13,5,0)*J52)</f>
        <v>22.4</v>
      </c>
      <c r="Q52" s="38">
        <f>+IF(C52="","",VLOOKUP(C52,Parametros!$B$11:$G$13,6,0)*J52)</f>
        <v>13.44</v>
      </c>
      <c r="R52" s="37">
        <f>+IF(C52="","",VLOOKUP(C52,Parametros!$B$11:$H$13,7,0)*J52)</f>
        <v>20.16</v>
      </c>
      <c r="S52" s="38">
        <f>IF(J52&lt;6,VLOOKUP(C52,Parametros!$B$11:$I$13,8,0)*Planilla!J52,VLOOKUP(C52,Parametros!$B$11:$I$13,8,0)*J52+VLOOKUP(C52,Parametros!$B$11:$I$13,8,0))</f>
        <v>25.6</v>
      </c>
      <c r="T52" s="38">
        <f>K52*VLOOKUP(C52,Parametros!$B$11:$K$13,9,0)</f>
        <v>0</v>
      </c>
      <c r="U52" s="38">
        <f>L52*VLOOKUP(C52,Parametros!$B$11:$L$13,10,0)</f>
        <v>0</v>
      </c>
      <c r="V52" s="38">
        <f t="shared" si="6"/>
        <v>256.32</v>
      </c>
      <c r="W52" s="38">
        <f t="shared" si="0"/>
        <v>210.56</v>
      </c>
      <c r="X52" s="38">
        <f>IF(H52="S.N.P.",W52*Parametros!$F$19,0)</f>
        <v>0</v>
      </c>
      <c r="Y52" s="38">
        <f>VLOOKUP(H52,Parametros!$B$19:$G$23,2,0)*W52</f>
        <v>4.10592</v>
      </c>
      <c r="Z52" s="38">
        <f>VLOOKUP(H52,Parametros!$B$19:$G$23,3,0)*W52</f>
        <v>2.337216</v>
      </c>
      <c r="AA52" s="38">
        <f>VLOOKUP(H52,Parametros!$B$19:$G$23,4,0)*W52</f>
        <v>21.056</v>
      </c>
      <c r="AB52" s="38">
        <f t="shared" si="1"/>
        <v>3.14</v>
      </c>
      <c r="AC52" s="38">
        <v>0</v>
      </c>
      <c r="AD52" s="38">
        <v>0</v>
      </c>
      <c r="AE52" s="38">
        <f t="shared" si="2"/>
        <v>30.639136</v>
      </c>
      <c r="AF52" s="38">
        <f t="shared" si="3"/>
        <v>225.68086399999999</v>
      </c>
      <c r="AG52" s="37">
        <f t="shared" si="4"/>
        <v>18.95</v>
      </c>
      <c r="AH52" s="38">
        <f t="shared" si="5"/>
        <v>3.26</v>
      </c>
      <c r="AI52" s="37"/>
    </row>
    <row r="53" spans="1:35" s="7" customFormat="1" ht="15">
      <c r="A53" s="8">
        <v>44</v>
      </c>
      <c r="B53" s="1" t="s">
        <v>106</v>
      </c>
      <c r="C53" s="31" t="s">
        <v>12</v>
      </c>
      <c r="D53" s="32" t="s">
        <v>152</v>
      </c>
      <c r="E53" s="33">
        <v>28806</v>
      </c>
      <c r="F53" s="33">
        <v>40599</v>
      </c>
      <c r="G53" s="33">
        <v>40621</v>
      </c>
      <c r="H53" s="33" t="s">
        <v>11</v>
      </c>
      <c r="I53" s="33"/>
      <c r="J53" s="35">
        <v>3</v>
      </c>
      <c r="K53" s="35"/>
      <c r="L53" s="35"/>
      <c r="M53" s="36">
        <f>IF(C53="","",VLOOKUP(C53,Parametros!$B$11:$C$13,2,0)*J53)</f>
        <v>100.80000000000001</v>
      </c>
      <c r="N53" s="37">
        <f>IF(C53="","",VLOOKUP(C53,Parametros!$B$11:$D$13,3,0)*J53*VLOOKUP(C53,Parametros!$B$11:$C$13,2,0))</f>
        <v>30.24</v>
      </c>
      <c r="O53" s="38">
        <f>+VLOOKUP(C53,Parametros!$B$11:$E$13,4,0)*J53</f>
        <v>0</v>
      </c>
      <c r="P53" s="38">
        <f>+IF(C53="","",VLOOKUP(C53,Parametros!$B$11:$F$13,5,0)*J53)</f>
        <v>16.799999999999997</v>
      </c>
      <c r="Q53" s="38">
        <f>+IF(C53="","",VLOOKUP(C53,Parametros!$B$11:$G$13,6,0)*J53)</f>
        <v>10.08</v>
      </c>
      <c r="R53" s="37">
        <f>+IF(C53="","",VLOOKUP(C53,Parametros!$B$11:$H$13,7,0)*J53)</f>
        <v>15.120000000000001</v>
      </c>
      <c r="S53" s="38">
        <f>IF(J53&lt;6,VLOOKUP(C53,Parametros!$B$11:$I$13,8,0)*Planilla!J53,VLOOKUP(C53,Parametros!$B$11:$I$13,8,0)*J53+VLOOKUP(C53,Parametros!$B$11:$I$13,8,0))</f>
        <v>19.200000000000003</v>
      </c>
      <c r="T53" s="38">
        <f>K53*VLOOKUP(C53,Parametros!$B$11:$K$13,9,0)</f>
        <v>0</v>
      </c>
      <c r="U53" s="38">
        <f>L53*VLOOKUP(C53,Parametros!$B$11:$L$13,10,0)</f>
        <v>0</v>
      </c>
      <c r="V53" s="38">
        <f t="shared" si="6"/>
        <v>192.24000000000007</v>
      </c>
      <c r="W53" s="38">
        <f t="shared" si="0"/>
        <v>157.92000000000004</v>
      </c>
      <c r="X53" s="38">
        <f>IF(H53="S.N.P.",W53*Parametros!$F$19,0)</f>
        <v>20.529600000000006</v>
      </c>
      <c r="Y53" s="38">
        <f>VLOOKUP(H53,Parametros!$B$19:$G$23,2,0)*W53</f>
        <v>0</v>
      </c>
      <c r="Z53" s="38">
        <f>VLOOKUP(H53,Parametros!$B$19:$G$23,3,0)*W53</f>
        <v>0</v>
      </c>
      <c r="AA53" s="38">
        <f>VLOOKUP(H53,Parametros!$B$19:$G$23,4,0)*W53</f>
        <v>0</v>
      </c>
      <c r="AB53" s="38">
        <f t="shared" si="1"/>
        <v>2.35</v>
      </c>
      <c r="AC53" s="38">
        <v>0</v>
      </c>
      <c r="AD53" s="38">
        <v>0</v>
      </c>
      <c r="AE53" s="38">
        <f t="shared" si="2"/>
        <v>22.879600000000007</v>
      </c>
      <c r="AF53" s="38">
        <f t="shared" si="3"/>
        <v>169.36040000000006</v>
      </c>
      <c r="AG53" s="37">
        <f t="shared" si="4"/>
        <v>14.21</v>
      </c>
      <c r="AH53" s="38">
        <f t="shared" si="5"/>
        <v>2.45</v>
      </c>
      <c r="AI53" s="37"/>
    </row>
    <row r="54" spans="1:35" s="7" customFormat="1" ht="15">
      <c r="A54" s="8">
        <v>45</v>
      </c>
      <c r="B54" s="1" t="s">
        <v>107</v>
      </c>
      <c r="C54" s="31" t="s">
        <v>10</v>
      </c>
      <c r="D54" s="32" t="s">
        <v>153</v>
      </c>
      <c r="E54" s="33">
        <v>25064</v>
      </c>
      <c r="F54" s="33">
        <v>40618</v>
      </c>
      <c r="G54" s="33">
        <v>40619</v>
      </c>
      <c r="H54" s="33" t="s">
        <v>11</v>
      </c>
      <c r="I54" s="33"/>
      <c r="J54" s="35">
        <v>1</v>
      </c>
      <c r="K54" s="35">
        <v>2</v>
      </c>
      <c r="L54" s="35"/>
      <c r="M54" s="36">
        <f>IF(C54="","",VLOOKUP(C54,Parametros!$B$11:$C$13,2,0)*J54)</f>
        <v>42.8</v>
      </c>
      <c r="N54" s="37">
        <f>IF(C54="","",VLOOKUP(C54,Parametros!$B$11:$D$13,3,0)*J54*VLOOKUP(C54,Parametros!$B$11:$C$13,2,0))</f>
        <v>13.696</v>
      </c>
      <c r="O54" s="38">
        <f>+VLOOKUP(C54,Parametros!$B$11:$E$13,4,0)*J54</f>
        <v>0</v>
      </c>
      <c r="P54" s="38">
        <f>+IF(C54="","",VLOOKUP(C54,Parametros!$B$11:$F$13,5,0)*J54)</f>
        <v>7.13</v>
      </c>
      <c r="Q54" s="38">
        <f>+IF(C54="","",VLOOKUP(C54,Parametros!$B$11:$G$13,6,0)*J54)</f>
        <v>4.28</v>
      </c>
      <c r="R54" s="37">
        <f>+IF(C54="","",VLOOKUP(C54,Parametros!$B$11:$H$13,7,0)*J54)</f>
        <v>6.42</v>
      </c>
      <c r="S54" s="38">
        <f>IF(J54&lt;6,VLOOKUP(C54,Parametros!$B$11:$I$13,8,0)*Planilla!J54,VLOOKUP(C54,Parametros!$B$11:$I$13,8,0)*J54+VLOOKUP(C54,Parametros!$B$11:$I$13,8,0))</f>
        <v>8.15</v>
      </c>
      <c r="T54" s="38">
        <f>K54*VLOOKUP(C54,Parametros!$B$11:$K$13,9,0)</f>
        <v>17.12</v>
      </c>
      <c r="U54" s="38">
        <f>L54*VLOOKUP(C54,Parametros!$B$11:$L$13,10,0)</f>
        <v>0</v>
      </c>
      <c r="V54" s="38">
        <f t="shared" si="6"/>
        <v>99.596</v>
      </c>
      <c r="W54" s="38">
        <f t="shared" si="0"/>
        <v>85.026</v>
      </c>
      <c r="X54" s="38">
        <f>IF(H54="S.N.P.",W54*Parametros!$F$19,0)</f>
        <v>11.05338</v>
      </c>
      <c r="Y54" s="38">
        <f>VLOOKUP(H54,Parametros!$B$19:$G$23,2,0)*W54</f>
        <v>0</v>
      </c>
      <c r="Z54" s="38">
        <f>VLOOKUP(H54,Parametros!$B$19:$G$23,3,0)*W54</f>
        <v>0</v>
      </c>
      <c r="AA54" s="38">
        <f>VLOOKUP(H54,Parametros!$B$19:$G$23,4,0)*W54</f>
        <v>0</v>
      </c>
      <c r="AB54" s="38">
        <f t="shared" si="1"/>
        <v>1</v>
      </c>
      <c r="AC54" s="38">
        <v>0</v>
      </c>
      <c r="AD54" s="38">
        <v>0</v>
      </c>
      <c r="AE54" s="38">
        <f t="shared" si="2"/>
        <v>12.05338</v>
      </c>
      <c r="AF54" s="38">
        <f t="shared" si="3"/>
        <v>87.54262</v>
      </c>
      <c r="AG54" s="37">
        <f t="shared" si="4"/>
        <v>7.65</v>
      </c>
      <c r="AH54" s="38">
        <f t="shared" si="5"/>
        <v>1.32</v>
      </c>
      <c r="AI54" s="37"/>
    </row>
    <row r="55" spans="1:35" s="7" customFormat="1" ht="15">
      <c r="A55" s="8">
        <v>46</v>
      </c>
      <c r="B55" s="1" t="s">
        <v>108</v>
      </c>
      <c r="C55" s="31" t="s">
        <v>10</v>
      </c>
      <c r="D55" s="32" t="s">
        <v>154</v>
      </c>
      <c r="E55" s="33">
        <v>16362</v>
      </c>
      <c r="F55" s="33">
        <v>40645</v>
      </c>
      <c r="G55" s="33">
        <v>40652</v>
      </c>
      <c r="H55" s="33" t="s">
        <v>11</v>
      </c>
      <c r="I55" s="39"/>
      <c r="J55" s="35">
        <v>4</v>
      </c>
      <c r="K55" s="35">
        <v>1</v>
      </c>
      <c r="L55" s="35"/>
      <c r="M55" s="36">
        <f>IF(C55="","",VLOOKUP(C55,Parametros!$B$11:$C$13,2,0)*J55)</f>
        <v>171.2</v>
      </c>
      <c r="N55" s="37">
        <f>IF(C55="","",VLOOKUP(C55,Parametros!$B$11:$D$13,3,0)*J55*VLOOKUP(C55,Parametros!$B$11:$C$13,2,0))</f>
        <v>54.784</v>
      </c>
      <c r="O55" s="38">
        <f>+VLOOKUP(C55,Parametros!$B$11:$E$13,4,0)*J55</f>
        <v>0</v>
      </c>
      <c r="P55" s="38">
        <f>+IF(C55="","",VLOOKUP(C55,Parametros!$B$11:$F$13,5,0)*J55)</f>
        <v>28.52</v>
      </c>
      <c r="Q55" s="38">
        <f>+IF(C55="","",VLOOKUP(C55,Parametros!$B$11:$G$13,6,0)*J55)</f>
        <v>17.12</v>
      </c>
      <c r="R55" s="37">
        <f>+IF(C55="","",VLOOKUP(C55,Parametros!$B$11:$H$13,7,0)*J55)</f>
        <v>25.68</v>
      </c>
      <c r="S55" s="38">
        <f>IF(J55&lt;6,VLOOKUP(C55,Parametros!$B$11:$I$13,8,0)*Planilla!J55,VLOOKUP(C55,Parametros!$B$11:$I$13,8,0)*J55+VLOOKUP(C55,Parametros!$B$11:$I$13,8,0))</f>
        <v>32.6</v>
      </c>
      <c r="T55" s="38">
        <f>K55*VLOOKUP(C55,Parametros!$B$11:$K$13,9,0)</f>
        <v>8.56</v>
      </c>
      <c r="U55" s="38">
        <f>L55*VLOOKUP(C55,Parametros!$B$11:$L$13,10,0)</f>
        <v>0</v>
      </c>
      <c r="V55" s="38">
        <f t="shared" si="6"/>
        <v>338.464</v>
      </c>
      <c r="W55" s="38">
        <f t="shared" si="0"/>
        <v>280.18399999999997</v>
      </c>
      <c r="X55" s="38">
        <f>IF(H55="S.N.P.",W55*Parametros!$F$19,0)</f>
        <v>36.423919999999995</v>
      </c>
      <c r="Y55" s="38">
        <f>VLOOKUP(H55,Parametros!$B$19:$G$23,2,0)*W55</f>
        <v>0</v>
      </c>
      <c r="Z55" s="38">
        <f>VLOOKUP(H55,Parametros!$B$19:$G$23,3,0)*W55</f>
        <v>0</v>
      </c>
      <c r="AA55" s="38">
        <f>VLOOKUP(H55,Parametros!$B$19:$G$23,4,0)*W55</f>
        <v>0</v>
      </c>
      <c r="AB55" s="38">
        <f t="shared" si="1"/>
        <v>3.99</v>
      </c>
      <c r="AC55" s="38">
        <v>0</v>
      </c>
      <c r="AD55" s="38">
        <v>0</v>
      </c>
      <c r="AE55" s="38">
        <f t="shared" si="2"/>
        <v>40.41392</v>
      </c>
      <c r="AF55" s="38">
        <f t="shared" si="3"/>
        <v>298.05008</v>
      </c>
      <c r="AG55" s="37">
        <f t="shared" si="4"/>
        <v>25.22</v>
      </c>
      <c r="AH55" s="38">
        <f t="shared" si="5"/>
        <v>4.34</v>
      </c>
      <c r="AI55" s="37"/>
    </row>
  </sheetData>
  <sheetProtection/>
  <mergeCells count="2">
    <mergeCell ref="X8:AD8"/>
    <mergeCell ref="A1:F2"/>
  </mergeCells>
  <dataValidations count="2">
    <dataValidation type="list" allowBlank="1" showInputMessage="1" showErrorMessage="1" sqref="C10:C55">
      <formula1>categorías</formula1>
    </dataValidation>
    <dataValidation type="list" allowBlank="1" showInputMessage="1" showErrorMessage="1" sqref="H10:H55">
      <formula1>Sistema_de_Pensiones</formula1>
    </dataValidation>
  </dataValidations>
  <hyperlinks>
    <hyperlink ref="E7" r:id="rId1" display="www.excelnegocios.com"/>
  </hyperlinks>
  <printOptions/>
  <pageMargins left="0.7" right="0.7" top="0.75" bottom="0.75" header="0.3" footer="0.3"/>
  <pageSetup orientation="portrait" paperSize="9"/>
  <ignoredErrors>
    <ignoredError sqref="D10:D5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Negocios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Sebastiani</dc:creator>
  <cp:keywords/>
  <dc:description/>
  <cp:lastModifiedBy>Sebastiani</cp:lastModifiedBy>
  <dcterms:created xsi:type="dcterms:W3CDTF">2011-07-02T06:15:15Z</dcterms:created>
  <dcterms:modified xsi:type="dcterms:W3CDTF">2013-01-19T14:36:46Z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